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tabRatio="617" firstSheet="8" activeTab="8"/>
  </bookViews>
  <sheets>
    <sheet name="01.2016" sheetId="1" state="hidden" r:id="rId1"/>
    <sheet name="02.2016" sheetId="2" state="hidden" r:id="rId2"/>
    <sheet name="03.2016" sheetId="3" state="hidden" r:id="rId3"/>
    <sheet name="04.2016" sheetId="4" state="hidden" r:id="rId4"/>
    <sheet name="05.2016" sheetId="5" state="hidden" r:id="rId5"/>
    <sheet name="06.2016" sheetId="6" state="hidden" r:id="rId6"/>
    <sheet name="07.16" sheetId="7" state="hidden" r:id="rId7"/>
    <sheet name="08.16" sheetId="8" state="hidden" r:id="rId8"/>
    <sheet name="ВСЬОГО" sheetId="9" r:id="rId9"/>
  </sheets>
  <definedNames>
    <definedName name="_xlnm.Print_Area" localSheetId="1">'02.2016'!$A$1:$BD$26</definedName>
    <definedName name="_xlnm.Print_Area" localSheetId="2">'03.2016'!$A$1:$BD$39</definedName>
    <definedName name="_xlnm.Print_Area" localSheetId="3">'04.2016'!$A$1:$BE$27</definedName>
    <definedName name="_xlnm.Print_Area" localSheetId="4">'05.2016'!$A$1:$BE$39</definedName>
    <definedName name="_xlnm.Print_Area" localSheetId="5">'06.2016'!$A$1:$BD$27</definedName>
    <definedName name="_xlnm.Print_Area" localSheetId="6">'07.16'!$A$1:$BD$24</definedName>
    <definedName name="_xlnm.Print_Area" localSheetId="8">'ВСЬОГО'!$A$1:$AL$28</definedName>
  </definedNames>
  <calcPr fullCalcOnLoad="1" fullPrecision="0"/>
</workbook>
</file>

<file path=xl/sharedStrings.xml><?xml version="1.0" encoding="utf-8"?>
<sst xmlns="http://schemas.openxmlformats.org/spreadsheetml/2006/main" count="978" uniqueCount="169">
  <si>
    <t>№ п/п</t>
  </si>
  <si>
    <t>робочі дні</t>
  </si>
  <si>
    <t>години</t>
  </si>
  <si>
    <t>ВСЬОГО</t>
  </si>
  <si>
    <t>по Немішаївській селищній раді</t>
  </si>
  <si>
    <t>головний бухгалтер</t>
  </si>
  <si>
    <t>Разом</t>
  </si>
  <si>
    <t>Ранг</t>
  </si>
  <si>
    <t>Вислуга років</t>
  </si>
  <si>
    <t>Надбавки</t>
  </si>
  <si>
    <t>Премія</t>
  </si>
  <si>
    <t xml:space="preserve">Індексація </t>
  </si>
  <si>
    <t>РАЗОМ</t>
  </si>
  <si>
    <t>ВСЬОГО НАРАХОВАНО</t>
  </si>
  <si>
    <t>селищний голова</t>
  </si>
  <si>
    <t>аванс</t>
  </si>
  <si>
    <t>з/п</t>
  </si>
  <si>
    <t>РАЗОМ УТРИМАНО</t>
  </si>
  <si>
    <t>ДО ВИДАЧІ</t>
  </si>
  <si>
    <t>ПРИВАТ - банк</t>
  </si>
  <si>
    <t>ОЩАД - банк</t>
  </si>
  <si>
    <t>посада</t>
  </si>
  <si>
    <t>%</t>
  </si>
  <si>
    <t>сума</t>
  </si>
  <si>
    <t>пост.КМУ№268</t>
  </si>
  <si>
    <t>сторожам, прибиральникам</t>
  </si>
  <si>
    <t>Лікарняні листи</t>
  </si>
  <si>
    <t>дні</t>
  </si>
  <si>
    <t>Дт-802</t>
  </si>
  <si>
    <t>Дт-652</t>
  </si>
  <si>
    <t>Відпустка</t>
  </si>
  <si>
    <t>Аванс</t>
  </si>
  <si>
    <t>Зарплата за другу половину місяця</t>
  </si>
  <si>
    <t>разом</t>
  </si>
  <si>
    <t>Хоменко Олена Костянтинівна</t>
  </si>
  <si>
    <t>секретар</t>
  </si>
  <si>
    <t>Зайцева Надія Йосипівна</t>
  </si>
  <si>
    <t>Лавриненко Тетяна Костянтинівна</t>
  </si>
  <si>
    <t>спеціаліст-землевпорядник</t>
  </si>
  <si>
    <t>РАЗОМ дерслужбовці:</t>
  </si>
  <si>
    <t>Прізвище імя по-батькові</t>
  </si>
  <si>
    <t>Петренко Марія Василівна</t>
  </si>
  <si>
    <t>бухгалтер-касир</t>
  </si>
  <si>
    <t>Смоловик Олена Віталіївна</t>
  </si>
  <si>
    <t>Інспектор ВОС</t>
  </si>
  <si>
    <t>Гончарова Любов Василівна</t>
  </si>
  <si>
    <t>Тарасенко Людмила Іванівна</t>
  </si>
  <si>
    <t>cуміщення</t>
  </si>
  <si>
    <t>Соломаха Ганна Вадимівна</t>
  </si>
  <si>
    <t>бухгалтер</t>
  </si>
  <si>
    <t>Бухгалтер</t>
  </si>
  <si>
    <t>Прибутковий разом</t>
  </si>
  <si>
    <t>двірник</t>
  </si>
  <si>
    <t>ставка</t>
  </si>
  <si>
    <t>ПДФО</t>
  </si>
  <si>
    <t>оздоровчий оклад</t>
  </si>
  <si>
    <t>діловод</t>
  </si>
  <si>
    <t>Лукянець Володимир Адамович</t>
  </si>
  <si>
    <t>фіксована індексація</t>
  </si>
  <si>
    <t>Лазнюк Володимир Маркович</t>
  </si>
  <si>
    <t>Замідра Сергій Володимирович</t>
  </si>
  <si>
    <t>Свистунов Віктор Олексійович</t>
  </si>
  <si>
    <t>тех працівник,   опалювач</t>
  </si>
  <si>
    <t>Перерахунок ПДФО</t>
  </si>
  <si>
    <t>Сума на пільгу (1930)</t>
  </si>
  <si>
    <t>Посадовий оклад            (по штатному розпису)</t>
  </si>
  <si>
    <t>Посадовий оклад                (за відпрацьо ваний час)</t>
  </si>
  <si>
    <t>Нарахування з/п за лютий 2016 року</t>
  </si>
  <si>
    <t>робочі дні (за першу половину місяця)</t>
  </si>
  <si>
    <t xml:space="preserve">воєнний податок 1,5% </t>
  </si>
  <si>
    <t>1,5% воєнний податок Разом</t>
  </si>
  <si>
    <t>Проф. внески,1 %</t>
  </si>
  <si>
    <t xml:space="preserve">Утримання </t>
  </si>
  <si>
    <t>Всього</t>
  </si>
  <si>
    <t>Леоненко Катерина Вікторівна</t>
  </si>
  <si>
    <t>Нарахування на оплату проаці ЄСВ 22%</t>
  </si>
  <si>
    <t>Перерахунок вислуга років</t>
  </si>
  <si>
    <t>Премія до ювілею</t>
  </si>
  <si>
    <t>88/87</t>
  </si>
  <si>
    <t>Нарахування з/п за березень 2016 року</t>
  </si>
  <si>
    <t>Матеріальна допомога</t>
  </si>
  <si>
    <t>Курси</t>
  </si>
  <si>
    <t>Перерахунок заробітної плати грудень 2015-лютий 2016</t>
  </si>
  <si>
    <t>Перерах. проф. внески</t>
  </si>
  <si>
    <t>Нарахування на оплату праці ЄСВ 22%</t>
  </si>
  <si>
    <t>Степовий Олексій Олегович</t>
  </si>
  <si>
    <t>Нарахування з/п за квітень 2016 року</t>
  </si>
  <si>
    <t>Лещенко Олена Станіславівна</t>
  </si>
  <si>
    <t>Діловод</t>
  </si>
  <si>
    <t>Селищний голова</t>
  </si>
  <si>
    <t>Секретар</t>
  </si>
  <si>
    <t>Головний бухгалтер</t>
  </si>
  <si>
    <t>Спеціаліст-землевпорядник</t>
  </si>
  <si>
    <t>Спеціаліст І категорії</t>
  </si>
  <si>
    <t>Бухгалтер-касир</t>
  </si>
  <si>
    <t>Двірник</t>
  </si>
  <si>
    <t xml:space="preserve">                                                                                                                                                                                                    по Немішаївській селищній раді</t>
  </si>
  <si>
    <t>Кононенко Любов Василівна</t>
  </si>
  <si>
    <t xml:space="preserve">Перерахунок заробітної плати </t>
  </si>
  <si>
    <t>Курси підвищення кваліфікації</t>
  </si>
  <si>
    <t>Тех працівник,   звільнена 13.04.2016 р.</t>
  </si>
  <si>
    <t>Діловод                звільнена 18.04.2016 р.</t>
  </si>
  <si>
    <t>Тех працівник</t>
  </si>
  <si>
    <t>Нарахування з/п за травень 2016 року</t>
  </si>
  <si>
    <t>Нарахування з/п за червень 2016 року</t>
  </si>
  <si>
    <t>Компенсація відпустки</t>
  </si>
  <si>
    <t>Відпустка навчання</t>
  </si>
  <si>
    <t>Індексація</t>
  </si>
  <si>
    <t>Середенко Танасій Олександрович</t>
  </si>
  <si>
    <t xml:space="preserve">Відпустка </t>
  </si>
  <si>
    <t>Нарахування з/п за липень 2016 року</t>
  </si>
  <si>
    <t>Суміщення</t>
  </si>
  <si>
    <t>Премія до дня бухгалтера</t>
  </si>
  <si>
    <t>168/52</t>
  </si>
  <si>
    <t>Нарахування з/п за серпень 2016 року</t>
  </si>
  <si>
    <t>175/52</t>
  </si>
  <si>
    <t>Дт-365</t>
  </si>
  <si>
    <t>профвнески 1%</t>
  </si>
  <si>
    <t>1% профвнески Разом</t>
  </si>
  <si>
    <t>Премія доЮВІЛЕЮ</t>
  </si>
  <si>
    <t>Нарахування з/п за січень 2016 року</t>
  </si>
  <si>
    <t>Посадовий оклад</t>
  </si>
  <si>
    <t>Посадовий оклад на з/п</t>
  </si>
  <si>
    <t>перерахунок індексації</t>
  </si>
  <si>
    <t>Одноразова премія</t>
  </si>
  <si>
    <t>соціально-побутова допомога</t>
  </si>
  <si>
    <t>ПІП</t>
  </si>
  <si>
    <t>Сума на пільгу (1710)</t>
  </si>
  <si>
    <t>ПДФО, 18%</t>
  </si>
  <si>
    <t>перерахунок ПДФО за грудень</t>
  </si>
  <si>
    <t>воєнний податок 1,5% аванс</t>
  </si>
  <si>
    <t>вєнний податок зарплата</t>
  </si>
  <si>
    <t>Перерахунок воєнного збору за листопад</t>
  </si>
  <si>
    <t>Разом утримано воєнного збору</t>
  </si>
  <si>
    <t>Проф внесок 1% аванс</t>
  </si>
  <si>
    <t>Проф внесок зарплата 1%</t>
  </si>
  <si>
    <t>Перерахунок профнеску 1%</t>
  </si>
  <si>
    <t>Проф. внески рахом</t>
  </si>
  <si>
    <t>Утирмано аванс</t>
  </si>
  <si>
    <t>Утримано друга половина місяця</t>
  </si>
  <si>
    <t>Утримано всього</t>
  </si>
  <si>
    <t>Замідра С.В.</t>
  </si>
  <si>
    <t>Хоменко О.К.</t>
  </si>
  <si>
    <t>Зайцева Н.Й.</t>
  </si>
  <si>
    <t>Лавриненко Т.К.</t>
  </si>
  <si>
    <t>Свистунов В.О.</t>
  </si>
  <si>
    <t>Петренко М.В.</t>
  </si>
  <si>
    <t>Соломаха Г.В,</t>
  </si>
  <si>
    <t>Цоколенко Ольга Вікторівна</t>
  </si>
  <si>
    <t>Цоколенко О.В.</t>
  </si>
  <si>
    <t>Смоловик О.В.</t>
  </si>
  <si>
    <t>Гончарова Л.В.</t>
  </si>
  <si>
    <t>76/75</t>
  </si>
  <si>
    <t>Тарасенко Л.І.</t>
  </si>
  <si>
    <t>Титенко Леонід Семенович</t>
  </si>
  <si>
    <t>сторож</t>
  </si>
  <si>
    <t>Титенко Л.С.</t>
  </si>
  <si>
    <t>Карпенко Юрій Кузьмич</t>
  </si>
  <si>
    <t>Карпенко Ю.К.</t>
  </si>
  <si>
    <t>Соц-побут мат допом</t>
  </si>
  <si>
    <t>компенсація відпустки</t>
  </si>
  <si>
    <t>Зведена заробітна плата працівників Немішаївської селищної ради за І півріччя 2016 року</t>
  </si>
  <si>
    <t>ГОТІВКА</t>
  </si>
  <si>
    <t>середня в місяць</t>
  </si>
  <si>
    <t>Відпрацьовано</t>
  </si>
  <si>
    <t>Працює/Звільнений</t>
  </si>
  <si>
    <t>Працює</t>
  </si>
  <si>
    <t>звільнено</t>
  </si>
  <si>
    <t>Матеріальна допомога на оздоровлення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</si>
</sst>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#,##0.0"/>
    <numFmt numFmtId="190" formatCode="0.0%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25"/>
      <name val="Arial"/>
      <family val="2"/>
    </font>
    <font>
      <sz val="25"/>
      <name val="Arial"/>
      <family val="2"/>
    </font>
    <font>
      <b/>
      <sz val="26"/>
      <name val="Times New Roman"/>
      <family val="1"/>
    </font>
    <font>
      <sz val="26"/>
      <name val="Times New Roman"/>
      <family val="1"/>
    </font>
    <font>
      <sz val="28"/>
      <name val="Arial"/>
      <family val="2"/>
    </font>
    <font>
      <sz val="2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Times New Roman"/>
      <family val="1"/>
    </font>
    <font>
      <sz val="25"/>
      <color indexed="10"/>
      <name val="Arial"/>
      <family val="2"/>
    </font>
    <font>
      <sz val="14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Times New Roman"/>
      <family val="1"/>
    </font>
    <font>
      <sz val="25"/>
      <color rgb="FFFF0000"/>
      <name val="Arial"/>
      <family val="2"/>
    </font>
    <font>
      <sz val="14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FC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2" fontId="2" fillId="35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9" fontId="2" fillId="34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0" borderId="13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left" wrapText="1"/>
    </xf>
    <xf numFmtId="2" fontId="2" fillId="34" borderId="13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left" wrapText="1"/>
    </xf>
    <xf numFmtId="2" fontId="3" fillId="36" borderId="10" xfId="0" applyNumberFormat="1" applyFont="1" applyFill="1" applyBorder="1" applyAlignment="1">
      <alignment horizontal="center" vertical="center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9" fontId="3" fillId="36" borderId="10" xfId="0" applyNumberFormat="1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2" fontId="2" fillId="38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/>
    </xf>
    <xf numFmtId="0" fontId="3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2" fontId="2" fillId="37" borderId="10" xfId="0" applyNumberFormat="1" applyFont="1" applyFill="1" applyBorder="1" applyAlignment="1">
      <alignment vertical="center"/>
    </xf>
    <xf numFmtId="0" fontId="3" fillId="0" borderId="13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2" fontId="2" fillId="38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36" borderId="1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38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2" fontId="5" fillId="36" borderId="16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38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9" fontId="5" fillId="36" borderId="10" xfId="0" applyNumberFormat="1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9" fontId="4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2" fontId="4" fillId="39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4" fillId="39" borderId="10" xfId="0" applyNumberFormat="1" applyFont="1" applyFill="1" applyBorder="1" applyAlignment="1">
      <alignment horizontal="center" vertical="center" wrapText="1"/>
    </xf>
    <xf numFmtId="2" fontId="5" fillId="40" borderId="10" xfId="0" applyNumberFormat="1" applyFont="1" applyFill="1" applyBorder="1" applyAlignment="1">
      <alignment horizontal="center" vertical="center"/>
    </xf>
    <xf numFmtId="2" fontId="4" fillId="40" borderId="13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>
      <alignment horizontal="center" vertical="center"/>
    </xf>
    <xf numFmtId="2" fontId="4" fillId="8" borderId="13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2" fontId="55" fillId="38" borderId="10" xfId="0" applyNumberFormat="1" applyFont="1" applyFill="1" applyBorder="1" applyAlignment="1">
      <alignment horizontal="center" vertical="center"/>
    </xf>
    <xf numFmtId="0" fontId="5" fillId="38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41" borderId="10" xfId="0" applyNumberFormat="1" applyFont="1" applyFill="1" applyBorder="1" applyAlignment="1">
      <alignment horizontal="center"/>
    </xf>
    <xf numFmtId="0" fontId="2" fillId="38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2" fontId="2" fillId="41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/>
    </xf>
    <xf numFmtId="2" fontId="2" fillId="37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wrapText="1"/>
    </xf>
    <xf numFmtId="2" fontId="7" fillId="36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0" fontId="3" fillId="13" borderId="10" xfId="0" applyFont="1" applyFill="1" applyBorder="1" applyAlignment="1">
      <alignment/>
    </xf>
    <xf numFmtId="2" fontId="2" fillId="13" borderId="10" xfId="0" applyNumberFormat="1" applyFont="1" applyFill="1" applyBorder="1" applyAlignment="1">
      <alignment/>
    </xf>
    <xf numFmtId="9" fontId="3" fillId="0" borderId="10" xfId="0" applyNumberFormat="1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5" xfId="0" applyFont="1" applyFill="1" applyBorder="1" applyAlignment="1">
      <alignment vertical="center" wrapText="1"/>
    </xf>
    <xf numFmtId="0" fontId="3" fillId="36" borderId="15" xfId="0" applyFont="1" applyFill="1" applyBorder="1" applyAlignment="1">
      <alignment horizontal="left" wrapText="1"/>
    </xf>
    <xf numFmtId="0" fontId="3" fillId="36" borderId="18" xfId="0" applyFont="1" applyFill="1" applyBorder="1" applyAlignment="1">
      <alignment horizontal="left" wrapText="1"/>
    </xf>
    <xf numFmtId="0" fontId="3" fillId="36" borderId="15" xfId="0" applyFont="1" applyFill="1" applyBorder="1" applyAlignment="1">
      <alignment horizontal="center" vertical="center"/>
    </xf>
    <xf numFmtId="2" fontId="3" fillId="36" borderId="15" xfId="0" applyNumberFormat="1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2" fillId="36" borderId="10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2" fontId="5" fillId="16" borderId="10" xfId="0" applyNumberFormat="1" applyFont="1" applyFill="1" applyBorder="1" applyAlignment="1">
      <alignment horizontal="center" vertical="center"/>
    </xf>
    <xf numFmtId="9" fontId="5" fillId="16" borderId="10" xfId="0" applyNumberFormat="1" applyFont="1" applyFill="1" applyBorder="1" applyAlignment="1">
      <alignment horizontal="center" vertical="center"/>
    </xf>
    <xf numFmtId="2" fontId="5" fillId="16" borderId="16" xfId="0" applyNumberFormat="1" applyFont="1" applyFill="1" applyBorder="1" applyAlignment="1">
      <alignment horizontal="center" vertical="center"/>
    </xf>
    <xf numFmtId="0" fontId="5" fillId="16" borderId="10" xfId="0" applyNumberFormat="1" applyFont="1" applyFill="1" applyBorder="1" applyAlignment="1">
      <alignment horizontal="center" vertical="center"/>
    </xf>
    <xf numFmtId="2" fontId="4" fillId="16" borderId="10" xfId="0" applyNumberFormat="1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/>
    </xf>
    <xf numFmtId="2" fontId="56" fillId="36" borderId="10" xfId="0" applyNumberFormat="1" applyFont="1" applyFill="1" applyBorder="1" applyAlignment="1">
      <alignment horizontal="center"/>
    </xf>
    <xf numFmtId="0" fontId="4" fillId="16" borderId="10" xfId="0" applyNumberFormat="1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36" borderId="10" xfId="0" applyNumberFormat="1" applyFont="1" applyFill="1" applyBorder="1" applyAlignment="1">
      <alignment horizontal="center" vertical="center"/>
    </xf>
    <xf numFmtId="9" fontId="9" fillId="33" borderId="10" xfId="0" applyNumberFormat="1" applyFont="1" applyFill="1" applyBorder="1" applyAlignment="1">
      <alignment horizontal="center" vertical="center"/>
    </xf>
    <xf numFmtId="2" fontId="9" fillId="36" borderId="16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/>
    </xf>
    <xf numFmtId="2" fontId="8" fillId="38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9" fontId="9" fillId="33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36" borderId="21" xfId="0" applyNumberFormat="1" applyFont="1" applyFill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2" fontId="8" fillId="38" borderId="13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2" fontId="10" fillId="36" borderId="10" xfId="0" applyNumberFormat="1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horizontal="center" vertical="center"/>
    </xf>
    <xf numFmtId="2" fontId="10" fillId="36" borderId="10" xfId="0" applyNumberFormat="1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 vertical="center" wrapText="1"/>
    </xf>
    <xf numFmtId="9" fontId="9" fillId="36" borderId="10" xfId="0" applyNumberFormat="1" applyFont="1" applyFill="1" applyBorder="1" applyAlignment="1">
      <alignment horizontal="center" vertical="center"/>
    </xf>
    <xf numFmtId="2" fontId="57" fillId="36" borderId="10" xfId="0" applyNumberFormat="1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2" fontId="10" fillId="36" borderId="15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2" fontId="10" fillId="33" borderId="16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 wrapText="1"/>
    </xf>
    <xf numFmtId="9" fontId="8" fillId="38" borderId="10" xfId="0" applyNumberFormat="1" applyFont="1" applyFill="1" applyBorder="1" applyAlignment="1">
      <alignment horizontal="center" vertical="center"/>
    </xf>
    <xf numFmtId="0" fontId="8" fillId="38" borderId="10" xfId="0" applyNumberFormat="1" applyFont="1" applyFill="1" applyBorder="1" applyAlignment="1">
      <alignment horizontal="center" vertical="center"/>
    </xf>
    <xf numFmtId="1" fontId="8" fillId="38" borderId="10" xfId="0" applyNumberFormat="1" applyFont="1" applyFill="1" applyBorder="1" applyAlignment="1">
      <alignment horizontal="center" vertical="center" wrapText="1"/>
    </xf>
    <xf numFmtId="2" fontId="11" fillId="38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textRotation="90"/>
    </xf>
    <xf numFmtId="2" fontId="3" fillId="33" borderId="18" xfId="0" applyNumberFormat="1" applyFont="1" applyFill="1" applyBorder="1" applyAlignment="1">
      <alignment horizontal="center" vertical="center" textRotation="90"/>
    </xf>
    <xf numFmtId="2" fontId="3" fillId="33" borderId="15" xfId="0" applyNumberFormat="1" applyFont="1" applyFill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8" xfId="0" applyFont="1" applyFill="1" applyBorder="1" applyAlignment="1">
      <alignment horizontal="center" vertical="center" textRotation="90"/>
    </xf>
    <xf numFmtId="0" fontId="3" fillId="33" borderId="15" xfId="0" applyFont="1" applyFill="1" applyBorder="1" applyAlignment="1">
      <alignment horizontal="center" vertical="center" textRotation="90"/>
    </xf>
    <xf numFmtId="0" fontId="3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38" borderId="13" xfId="0" applyFont="1" applyFill="1" applyBorder="1" applyAlignment="1">
      <alignment horizontal="center" wrapText="1"/>
    </xf>
    <xf numFmtId="0" fontId="2" fillId="38" borderId="15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textRotation="90" wrapText="1"/>
    </xf>
    <xf numFmtId="2" fontId="5" fillId="33" borderId="18" xfId="0" applyNumberFormat="1" applyFont="1" applyFill="1" applyBorder="1" applyAlignment="1">
      <alignment horizontal="center" vertical="center" textRotation="90" wrapText="1"/>
    </xf>
    <xf numFmtId="2" fontId="5" fillId="33" borderId="15" xfId="0" applyNumberFormat="1" applyFont="1" applyFill="1" applyBorder="1" applyAlignment="1">
      <alignment horizontal="center" vertical="center" textRotation="90" wrapText="1"/>
    </xf>
    <xf numFmtId="2" fontId="5" fillId="33" borderId="13" xfId="0" applyNumberFormat="1" applyFont="1" applyFill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8" xfId="0" applyFont="1" applyFill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49" fontId="5" fillId="0" borderId="18" xfId="0" applyNumberFormat="1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4" fillId="4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15" xfId="0" applyNumberFormat="1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textRotation="90" wrapText="1"/>
    </xf>
    <xf numFmtId="2" fontId="12" fillId="33" borderId="18" xfId="0" applyNumberFormat="1" applyFont="1" applyFill="1" applyBorder="1" applyAlignment="1">
      <alignment horizontal="center" vertical="center" textRotation="90" wrapText="1"/>
    </xf>
    <xf numFmtId="2" fontId="12" fillId="33" borderId="15" xfId="0" applyNumberFormat="1" applyFont="1" applyFill="1" applyBorder="1" applyAlignment="1">
      <alignment horizontal="center" vertical="center" textRotation="90" wrapText="1"/>
    </xf>
    <xf numFmtId="2" fontId="12" fillId="33" borderId="13" xfId="0" applyNumberFormat="1" applyFont="1" applyFill="1" applyBorder="1" applyAlignment="1">
      <alignment horizontal="center" vertical="center" textRotation="90"/>
    </xf>
    <xf numFmtId="2" fontId="12" fillId="33" borderId="18" xfId="0" applyNumberFormat="1" applyFont="1" applyFill="1" applyBorder="1" applyAlignment="1">
      <alignment horizontal="center" vertical="center" textRotation="90"/>
    </xf>
    <xf numFmtId="2" fontId="12" fillId="33" borderId="15" xfId="0" applyNumberFormat="1" applyFont="1" applyFill="1" applyBorder="1" applyAlignment="1">
      <alignment horizontal="center" vertical="center" textRotation="90"/>
    </xf>
    <xf numFmtId="0" fontId="12" fillId="33" borderId="13" xfId="0" applyFont="1" applyFill="1" applyBorder="1" applyAlignment="1">
      <alignment horizontal="center" vertical="center" textRotation="90"/>
    </xf>
    <xf numFmtId="0" fontId="12" fillId="33" borderId="18" xfId="0" applyFont="1" applyFill="1" applyBorder="1" applyAlignment="1">
      <alignment horizontal="center" vertical="center" textRotation="90"/>
    </xf>
    <xf numFmtId="0" fontId="12" fillId="33" borderId="15" xfId="0" applyFont="1" applyFill="1" applyBorder="1" applyAlignment="1">
      <alignment horizontal="center" vertical="center" textRotation="90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191000" y="2247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191000" y="2247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191000" y="2247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191000" y="2247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191000" y="2247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191000" y="2247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191000" y="2247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191000" y="2247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191000" y="3981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191000" y="3981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191000" y="3981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191000" y="3981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4191000" y="3981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4191000" y="3981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191000" y="3981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191000" y="3981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4191000" y="3981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4191000" y="3981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191000" y="3981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191000" y="3981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4191000" y="3981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4</xdr:row>
      <xdr:rowOff>209550</xdr:rowOff>
    </xdr:from>
    <xdr:ext cx="22860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4191000" y="3981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</xdr:row>
      <xdr:rowOff>209550</xdr:rowOff>
    </xdr:from>
    <xdr:ext cx="228600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4191000" y="30384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209550</xdr:rowOff>
    </xdr:from>
    <xdr:ext cx="2286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438400" y="1695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209550</xdr:rowOff>
    </xdr:from>
    <xdr:ext cx="2286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2438400" y="1695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209550</xdr:rowOff>
    </xdr:from>
    <xdr:ext cx="2286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2438400" y="13239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209550</xdr:rowOff>
    </xdr:from>
    <xdr:ext cx="2286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438400" y="13239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209550</xdr:rowOff>
    </xdr:from>
    <xdr:ext cx="2286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438400" y="13239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209550</xdr:rowOff>
    </xdr:from>
    <xdr:ext cx="2286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2438400" y="13239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209550</xdr:rowOff>
    </xdr:from>
    <xdr:ext cx="22860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2438400" y="1695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209550</xdr:rowOff>
    </xdr:from>
    <xdr:ext cx="22860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2438400" y="16954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209550</xdr:rowOff>
    </xdr:from>
    <xdr:ext cx="22860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2438400" y="13239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209550</xdr:rowOff>
    </xdr:from>
    <xdr:ext cx="22860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2438400" y="13239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209550</xdr:rowOff>
    </xdr:from>
    <xdr:ext cx="228600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2438400" y="13239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209550</xdr:rowOff>
    </xdr:from>
    <xdr:ext cx="228600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2438400" y="13239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3"/>
  <sheetViews>
    <sheetView view="pageBreakPreview" zoomScale="30" zoomScaleSheetLayoutView="30" zoomScalePageLayoutView="0" workbookViewId="0" topLeftCell="A1">
      <selection activeCell="E15" sqref="E15"/>
    </sheetView>
  </sheetViews>
  <sheetFormatPr defaultColWidth="15.7109375" defaultRowHeight="54" customHeight="1"/>
  <cols>
    <col min="1" max="1" width="10.28125" style="2" customWidth="1"/>
    <col min="2" max="2" width="49.140625" style="2" customWidth="1"/>
    <col min="3" max="3" width="9.57421875" style="2" customWidth="1"/>
    <col min="4" max="4" width="39.28125" style="2" customWidth="1"/>
    <col min="5" max="5" width="15.7109375" style="2" customWidth="1"/>
    <col min="6" max="6" width="19.7109375" style="2" customWidth="1"/>
    <col min="7" max="7" width="26.8515625" style="2" customWidth="1"/>
    <col min="8" max="8" width="27.421875" style="2" customWidth="1"/>
    <col min="9" max="9" width="18.28125" style="2" customWidth="1"/>
    <col min="10" max="10" width="27.140625" style="2" customWidth="1"/>
    <col min="11" max="11" width="15.7109375" style="2" customWidth="1"/>
    <col min="12" max="12" width="22.8515625" style="2" customWidth="1"/>
    <col min="13" max="13" width="25.421875" style="2" customWidth="1"/>
    <col min="14" max="14" width="15.7109375" style="2" customWidth="1"/>
    <col min="15" max="15" width="26.8515625" style="2" customWidth="1"/>
    <col min="16" max="16" width="18.28125" style="2" customWidth="1"/>
    <col min="17" max="17" width="24.7109375" style="2" customWidth="1"/>
    <col min="18" max="18" width="15.7109375" style="2" customWidth="1"/>
    <col min="19" max="19" width="18.00390625" style="2" customWidth="1"/>
    <col min="20" max="20" width="28.140625" style="2" customWidth="1"/>
    <col min="21" max="21" width="20.421875" style="2" customWidth="1"/>
    <col min="22" max="22" width="25.8515625" style="2" customWidth="1"/>
    <col min="23" max="23" width="23.57421875" style="2" customWidth="1"/>
    <col min="24" max="24" width="15.7109375" style="2" customWidth="1"/>
    <col min="25" max="25" width="22.421875" style="2" customWidth="1"/>
    <col min="26" max="26" width="15.7109375" style="2" customWidth="1"/>
    <col min="27" max="27" width="23.140625" style="2" customWidth="1"/>
    <col min="28" max="28" width="15.7109375" style="2" customWidth="1"/>
    <col min="29" max="29" width="23.57421875" style="2" customWidth="1"/>
    <col min="30" max="30" width="22.140625" style="2" customWidth="1"/>
    <col min="31" max="31" width="23.28125" style="2" customWidth="1"/>
    <col min="32" max="32" width="23.7109375" style="2" customWidth="1"/>
    <col min="33" max="33" width="11.00390625" style="2" customWidth="1"/>
    <col min="34" max="34" width="33.421875" style="2" customWidth="1"/>
    <col min="35" max="35" width="21.421875" style="2" customWidth="1"/>
    <col min="36" max="36" width="19.28125" style="2" customWidth="1"/>
    <col min="37" max="37" width="19.00390625" style="2" customWidth="1"/>
    <col min="38" max="38" width="28.57421875" style="37" customWidth="1"/>
    <col min="39" max="39" width="23.7109375" style="2" customWidth="1"/>
    <col min="40" max="40" width="26.28125" style="2" customWidth="1"/>
    <col min="41" max="41" width="21.7109375" style="2" customWidth="1"/>
    <col min="42" max="42" width="21.8515625" style="2" customWidth="1"/>
    <col min="43" max="43" width="20.7109375" style="2" customWidth="1"/>
    <col min="44" max="44" width="19.7109375" style="2" customWidth="1"/>
    <col min="45" max="45" width="21.140625" style="2" customWidth="1"/>
    <col min="46" max="46" width="22.28125" style="2" customWidth="1"/>
    <col min="47" max="51" width="19.7109375" style="2" customWidth="1"/>
    <col min="52" max="52" width="18.421875" style="2" customWidth="1"/>
    <col min="53" max="53" width="20.8515625" style="2" customWidth="1"/>
    <col min="54" max="56" width="26.57421875" style="2" customWidth="1"/>
    <col min="57" max="57" width="23.28125" style="2" customWidth="1"/>
    <col min="58" max="58" width="24.7109375" style="49" customWidth="1"/>
    <col min="59" max="59" width="18.57421875" style="2" customWidth="1"/>
    <col min="60" max="60" width="21.421875" style="49" customWidth="1"/>
    <col min="61" max="61" width="28.57421875" style="2" customWidth="1"/>
    <col min="62" max="16384" width="15.7109375" style="2" customWidth="1"/>
  </cols>
  <sheetData>
    <row r="1" spans="1:63" ht="54" customHeight="1">
      <c r="A1" s="337" t="s">
        <v>120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1"/>
      <c r="AH1" s="337" t="s">
        <v>120</v>
      </c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"/>
      <c r="BK1" s="3"/>
    </row>
    <row r="2" spans="1:63" ht="52.5" customHeight="1">
      <c r="A2" s="337" t="s">
        <v>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1"/>
      <c r="AH2" s="337" t="s">
        <v>4</v>
      </c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"/>
      <c r="BK2" s="3"/>
    </row>
    <row r="3" spans="1:63" ht="17.25" customHeight="1" hidden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1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"/>
      <c r="BK3" s="3"/>
    </row>
    <row r="4" spans="1:61" ht="54" customHeight="1">
      <c r="A4" s="298" t="s">
        <v>0</v>
      </c>
      <c r="B4" s="298" t="s">
        <v>40</v>
      </c>
      <c r="C4" s="339" t="s">
        <v>53</v>
      </c>
      <c r="D4" s="298" t="s">
        <v>21</v>
      </c>
      <c r="E4" s="298" t="s">
        <v>1</v>
      </c>
      <c r="F4" s="298" t="s">
        <v>2</v>
      </c>
      <c r="G4" s="301" t="s">
        <v>121</v>
      </c>
      <c r="H4" s="301" t="s">
        <v>122</v>
      </c>
      <c r="I4" s="336" t="s">
        <v>7</v>
      </c>
      <c r="J4" s="336" t="s">
        <v>6</v>
      </c>
      <c r="K4" s="320" t="s">
        <v>8</v>
      </c>
      <c r="L4" s="321"/>
      <c r="M4" s="336" t="s">
        <v>6</v>
      </c>
      <c r="N4" s="320" t="s">
        <v>9</v>
      </c>
      <c r="O4" s="325"/>
      <c r="P4" s="325"/>
      <c r="Q4" s="325"/>
      <c r="R4" s="6"/>
      <c r="S4" s="320" t="s">
        <v>10</v>
      </c>
      <c r="T4" s="321"/>
      <c r="U4" s="328" t="s">
        <v>11</v>
      </c>
      <c r="V4" s="328" t="s">
        <v>58</v>
      </c>
      <c r="W4" s="333" t="s">
        <v>47</v>
      </c>
      <c r="X4" s="320" t="s">
        <v>26</v>
      </c>
      <c r="Y4" s="325"/>
      <c r="Z4" s="325"/>
      <c r="AA4" s="321"/>
      <c r="AB4" s="320" t="s">
        <v>30</v>
      </c>
      <c r="AC4" s="321"/>
      <c r="AD4" s="301" t="s">
        <v>123</v>
      </c>
      <c r="AE4" s="324" t="s">
        <v>124</v>
      </c>
      <c r="AF4" s="301" t="s">
        <v>125</v>
      </c>
      <c r="AG4" s="298" t="s">
        <v>0</v>
      </c>
      <c r="AH4" s="298" t="s">
        <v>126</v>
      </c>
      <c r="AI4" s="301"/>
      <c r="AJ4" s="301"/>
      <c r="AK4" s="310"/>
      <c r="AL4" s="313" t="s">
        <v>13</v>
      </c>
      <c r="AM4" s="314" t="s">
        <v>31</v>
      </c>
      <c r="AN4" s="317" t="s">
        <v>32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173"/>
      <c r="BD4" s="173"/>
      <c r="BE4" s="304" t="s">
        <v>18</v>
      </c>
      <c r="BF4" s="304"/>
      <c r="BG4" s="304"/>
      <c r="BH4" s="304"/>
      <c r="BI4" s="304" t="s">
        <v>33</v>
      </c>
    </row>
    <row r="5" spans="1:61" ht="135.75" customHeight="1">
      <c r="A5" s="298"/>
      <c r="B5" s="298"/>
      <c r="C5" s="340"/>
      <c r="D5" s="298"/>
      <c r="E5" s="298"/>
      <c r="F5" s="298"/>
      <c r="G5" s="309"/>
      <c r="H5" s="309"/>
      <c r="I5" s="336"/>
      <c r="J5" s="336"/>
      <c r="K5" s="326"/>
      <c r="L5" s="327"/>
      <c r="M5" s="336"/>
      <c r="N5" s="298" t="s">
        <v>24</v>
      </c>
      <c r="O5" s="298"/>
      <c r="P5" s="298" t="s">
        <v>25</v>
      </c>
      <c r="Q5" s="298"/>
      <c r="R5" s="7"/>
      <c r="S5" s="326"/>
      <c r="T5" s="327"/>
      <c r="U5" s="329"/>
      <c r="V5" s="331"/>
      <c r="W5" s="334"/>
      <c r="X5" s="305" t="s">
        <v>28</v>
      </c>
      <c r="Y5" s="306"/>
      <c r="Z5" s="305" t="s">
        <v>29</v>
      </c>
      <c r="AA5" s="306"/>
      <c r="AB5" s="322"/>
      <c r="AC5" s="323"/>
      <c r="AD5" s="302"/>
      <c r="AE5" s="302"/>
      <c r="AF5" s="302"/>
      <c r="AG5" s="298"/>
      <c r="AH5" s="298"/>
      <c r="AI5" s="309"/>
      <c r="AJ5" s="309"/>
      <c r="AK5" s="311"/>
      <c r="AL5" s="313"/>
      <c r="AM5" s="315"/>
      <c r="AN5" s="318"/>
      <c r="AO5" s="301" t="s">
        <v>127</v>
      </c>
      <c r="AP5" s="307" t="s">
        <v>128</v>
      </c>
      <c r="AQ5" s="308"/>
      <c r="AR5" s="299" t="s">
        <v>129</v>
      </c>
      <c r="AS5" s="299" t="s">
        <v>51</v>
      </c>
      <c r="AT5" s="299" t="s">
        <v>130</v>
      </c>
      <c r="AU5" s="299" t="s">
        <v>131</v>
      </c>
      <c r="AV5" s="299" t="s">
        <v>132</v>
      </c>
      <c r="AW5" s="299" t="s">
        <v>133</v>
      </c>
      <c r="AX5" s="299" t="s">
        <v>134</v>
      </c>
      <c r="AY5" s="299" t="s">
        <v>135</v>
      </c>
      <c r="AZ5" s="301" t="s">
        <v>136</v>
      </c>
      <c r="BA5" s="301" t="s">
        <v>137</v>
      </c>
      <c r="BB5" s="301" t="s">
        <v>138</v>
      </c>
      <c r="BC5" s="301" t="s">
        <v>139</v>
      </c>
      <c r="BD5" s="301" t="s">
        <v>140</v>
      </c>
      <c r="BE5" s="295" t="s">
        <v>19</v>
      </c>
      <c r="BF5" s="296"/>
      <c r="BG5" s="295" t="s">
        <v>20</v>
      </c>
      <c r="BH5" s="296"/>
      <c r="BI5" s="304"/>
    </row>
    <row r="6" spans="1:61" ht="114" customHeight="1">
      <c r="A6" s="298"/>
      <c r="B6" s="298"/>
      <c r="C6" s="341"/>
      <c r="D6" s="298"/>
      <c r="E6" s="298"/>
      <c r="F6" s="298"/>
      <c r="G6" s="302"/>
      <c r="H6" s="302"/>
      <c r="I6" s="336"/>
      <c r="J6" s="336"/>
      <c r="K6" s="5" t="s">
        <v>22</v>
      </c>
      <c r="L6" s="4" t="s">
        <v>23</v>
      </c>
      <c r="M6" s="336"/>
      <c r="N6" s="5" t="s">
        <v>22</v>
      </c>
      <c r="O6" s="4" t="s">
        <v>23</v>
      </c>
      <c r="P6" s="8" t="s">
        <v>22</v>
      </c>
      <c r="Q6" s="297" t="s">
        <v>23</v>
      </c>
      <c r="R6" s="298"/>
      <c r="S6" s="5" t="s">
        <v>22</v>
      </c>
      <c r="T6" s="4" t="s">
        <v>23</v>
      </c>
      <c r="U6" s="330"/>
      <c r="V6" s="332"/>
      <c r="W6" s="335"/>
      <c r="X6" s="9" t="s">
        <v>27</v>
      </c>
      <c r="Y6" s="9" t="s">
        <v>23</v>
      </c>
      <c r="Z6" s="9" t="s">
        <v>27</v>
      </c>
      <c r="AA6" s="9" t="s">
        <v>23</v>
      </c>
      <c r="AB6" s="9" t="s">
        <v>27</v>
      </c>
      <c r="AC6" s="9" t="s">
        <v>23</v>
      </c>
      <c r="AD6" s="9" t="s">
        <v>23</v>
      </c>
      <c r="AE6" s="9" t="s">
        <v>23</v>
      </c>
      <c r="AF6" s="9" t="s">
        <v>23</v>
      </c>
      <c r="AG6" s="298"/>
      <c r="AH6" s="298"/>
      <c r="AI6" s="302"/>
      <c r="AJ6" s="302"/>
      <c r="AK6" s="312"/>
      <c r="AL6" s="313"/>
      <c r="AM6" s="316"/>
      <c r="AN6" s="319"/>
      <c r="AO6" s="302"/>
      <c r="AP6" s="4" t="s">
        <v>15</v>
      </c>
      <c r="AQ6" s="4" t="s">
        <v>16</v>
      </c>
      <c r="AR6" s="303"/>
      <c r="AS6" s="300"/>
      <c r="AT6" s="300"/>
      <c r="AU6" s="300"/>
      <c r="AV6" s="300"/>
      <c r="AW6" s="303"/>
      <c r="AX6" s="300"/>
      <c r="AY6" s="300"/>
      <c r="AZ6" s="302"/>
      <c r="BA6" s="302"/>
      <c r="BB6" s="302"/>
      <c r="BC6" s="302"/>
      <c r="BD6" s="302"/>
      <c r="BE6" s="10" t="s">
        <v>15</v>
      </c>
      <c r="BF6" s="175" t="s">
        <v>16</v>
      </c>
      <c r="BG6" s="10" t="s">
        <v>15</v>
      </c>
      <c r="BH6" s="175" t="s">
        <v>16</v>
      </c>
      <c r="BI6" s="304"/>
    </row>
    <row r="7" spans="1:62" ht="78.75" customHeight="1">
      <c r="A7" s="12">
        <v>1</v>
      </c>
      <c r="B7" s="13" t="s">
        <v>60</v>
      </c>
      <c r="C7" s="14">
        <v>1</v>
      </c>
      <c r="D7" s="15" t="s">
        <v>14</v>
      </c>
      <c r="E7" s="62">
        <v>19</v>
      </c>
      <c r="F7" s="62">
        <v>151</v>
      </c>
      <c r="G7" s="16">
        <v>3127</v>
      </c>
      <c r="H7" s="60">
        <f>G7</f>
        <v>3127</v>
      </c>
      <c r="I7" s="17">
        <v>90</v>
      </c>
      <c r="J7" s="17">
        <f>H7+I7</f>
        <v>3217</v>
      </c>
      <c r="K7" s="18"/>
      <c r="L7" s="16"/>
      <c r="M7" s="16">
        <f>J7+L7</f>
        <v>3217</v>
      </c>
      <c r="N7" s="16"/>
      <c r="O7" s="16"/>
      <c r="P7" s="16"/>
      <c r="Q7" s="293"/>
      <c r="R7" s="294"/>
      <c r="S7" s="18">
        <v>1</v>
      </c>
      <c r="T7" s="16">
        <f>H7*S7</f>
        <v>3127</v>
      </c>
      <c r="U7" s="17"/>
      <c r="V7" s="17"/>
      <c r="W7" s="17"/>
      <c r="X7" s="17"/>
      <c r="Y7" s="17"/>
      <c r="Z7" s="16"/>
      <c r="AA7" s="21"/>
      <c r="AB7" s="22"/>
      <c r="AC7" s="21"/>
      <c r="AD7" s="21"/>
      <c r="AE7" s="21"/>
      <c r="AF7" s="21"/>
      <c r="AG7" s="12">
        <v>1</v>
      </c>
      <c r="AH7" s="23" t="s">
        <v>141</v>
      </c>
      <c r="AI7" s="21"/>
      <c r="AJ7" s="21"/>
      <c r="AK7" s="21"/>
      <c r="AL7" s="24">
        <f>AI7+AC7+AA7+Y7+W7+T7+Q7+O7+M7+U7+AK7+AD7+AF7+V7+AE7</f>
        <v>6344</v>
      </c>
      <c r="AM7" s="25">
        <f>3127/19*9</f>
        <v>1481.21</v>
      </c>
      <c r="AN7" s="26">
        <f>AL7-AM7</f>
        <v>4862.79</v>
      </c>
      <c r="AO7" s="27"/>
      <c r="AP7" s="27">
        <f>AM7*18%</f>
        <v>266.62</v>
      </c>
      <c r="AQ7" s="27">
        <f>(AL7-AO7)*18%-AP7</f>
        <v>875.3</v>
      </c>
      <c r="AR7" s="27"/>
      <c r="AS7" s="28">
        <f>AP7+AQ7+AR7</f>
        <v>1141.92</v>
      </c>
      <c r="AT7" s="27">
        <f>AM7*1.5%</f>
        <v>22.22</v>
      </c>
      <c r="AU7" s="27">
        <f>AL7*1.5%-AT7</f>
        <v>72.94</v>
      </c>
      <c r="AV7" s="27"/>
      <c r="AW7" s="27">
        <f>AT7+AU7+AV7</f>
        <v>95.16</v>
      </c>
      <c r="AX7" s="27">
        <f>AM7*1%</f>
        <v>14.81</v>
      </c>
      <c r="AY7" s="27">
        <f>AL7*1%-AX7</f>
        <v>48.63</v>
      </c>
      <c r="AZ7" s="27"/>
      <c r="BA7" s="27">
        <f>AX7+AY7+AZ7</f>
        <v>63.44</v>
      </c>
      <c r="BB7" s="27">
        <f aca="true" t="shared" si="0" ref="BB7:BC10">AP7+AT7+AX7</f>
        <v>303.65</v>
      </c>
      <c r="BC7" s="27">
        <f t="shared" si="0"/>
        <v>996.87</v>
      </c>
      <c r="BD7" s="27">
        <f>BB7+BC7</f>
        <v>1300.52</v>
      </c>
      <c r="BE7" s="176">
        <f aca="true" t="shared" si="1" ref="BE7:BF10">AM7-BB7</f>
        <v>1177.56</v>
      </c>
      <c r="BF7" s="177">
        <f t="shared" si="1"/>
        <v>3865.92</v>
      </c>
      <c r="BG7" s="29"/>
      <c r="BH7" s="177"/>
      <c r="BI7" s="178">
        <f>SUM(BE7:BH7)</f>
        <v>5043.48</v>
      </c>
      <c r="BJ7" s="30"/>
    </row>
    <row r="8" spans="1:62" ht="78.75" customHeight="1">
      <c r="A8" s="12">
        <v>2</v>
      </c>
      <c r="B8" s="13" t="s">
        <v>34</v>
      </c>
      <c r="C8" s="14">
        <v>1</v>
      </c>
      <c r="D8" s="15" t="s">
        <v>35</v>
      </c>
      <c r="E8" s="62">
        <v>19</v>
      </c>
      <c r="F8" s="62">
        <v>151</v>
      </c>
      <c r="G8" s="16">
        <v>2457</v>
      </c>
      <c r="H8" s="60">
        <f>G8</f>
        <v>2457</v>
      </c>
      <c r="I8" s="17">
        <f>90</f>
        <v>90</v>
      </c>
      <c r="J8" s="17">
        <f>H8+I8</f>
        <v>2547</v>
      </c>
      <c r="K8" s="18">
        <v>0.4</v>
      </c>
      <c r="L8" s="16">
        <f>J8*K8</f>
        <v>1018.8</v>
      </c>
      <c r="M8" s="16">
        <f>J8+L8</f>
        <v>3565.8</v>
      </c>
      <c r="N8" s="16"/>
      <c r="O8" s="16"/>
      <c r="P8" s="16"/>
      <c r="Q8" s="293"/>
      <c r="R8" s="294"/>
      <c r="S8" s="18">
        <v>1</v>
      </c>
      <c r="T8" s="16">
        <f>H8*S8</f>
        <v>2457</v>
      </c>
      <c r="U8" s="17"/>
      <c r="V8" s="17"/>
      <c r="W8" s="17"/>
      <c r="X8" s="17"/>
      <c r="Y8" s="17"/>
      <c r="Z8" s="16"/>
      <c r="AA8" s="21"/>
      <c r="AB8" s="22"/>
      <c r="AC8" s="21"/>
      <c r="AD8" s="21"/>
      <c r="AE8" s="21"/>
      <c r="AF8" s="16"/>
      <c r="AG8" s="12">
        <v>2</v>
      </c>
      <c r="AH8" s="23" t="s">
        <v>142</v>
      </c>
      <c r="AI8" s="21"/>
      <c r="AJ8" s="21"/>
      <c r="AK8" s="21"/>
      <c r="AL8" s="24">
        <f>AI8+AC8+AA8+Y8+W8+T8+Q8+O8+M8+U8+AK8+AD8+AF8+V8+AE8</f>
        <v>6022.8</v>
      </c>
      <c r="AM8" s="25"/>
      <c r="AN8" s="26">
        <f>AL8-AM8</f>
        <v>6022.8</v>
      </c>
      <c r="AO8" s="27"/>
      <c r="AP8" s="27">
        <f>AM8*18%</f>
        <v>0</v>
      </c>
      <c r="AQ8" s="27">
        <f>(AL8-AO8)*18%-AP8</f>
        <v>1084.1</v>
      </c>
      <c r="AR8" s="27"/>
      <c r="AS8" s="28">
        <f>AP8+AQ8+AR8</f>
        <v>1084.1</v>
      </c>
      <c r="AT8" s="27">
        <f>AM8*1.5%</f>
        <v>0</v>
      </c>
      <c r="AU8" s="27">
        <f>AL8*1.5%-AT8</f>
        <v>90.34</v>
      </c>
      <c r="AV8" s="27"/>
      <c r="AW8" s="27">
        <f>AT8+AU8+AV8</f>
        <v>90.34</v>
      </c>
      <c r="AX8" s="27">
        <f>AM8*1%</f>
        <v>0</v>
      </c>
      <c r="AY8" s="27">
        <f>AL8*1%-AX8</f>
        <v>60.23</v>
      </c>
      <c r="AZ8" s="27"/>
      <c r="BA8" s="27">
        <f>AX8+AY8+AZ8</f>
        <v>60.23</v>
      </c>
      <c r="BB8" s="27">
        <f t="shared" si="0"/>
        <v>0</v>
      </c>
      <c r="BC8" s="27">
        <f t="shared" si="0"/>
        <v>1234.67</v>
      </c>
      <c r="BD8" s="27">
        <f>BB8+BC8</f>
        <v>1234.67</v>
      </c>
      <c r="BE8" s="176">
        <f t="shared" si="1"/>
        <v>0</v>
      </c>
      <c r="BF8" s="177">
        <f t="shared" si="1"/>
        <v>4788.13</v>
      </c>
      <c r="BG8" s="29"/>
      <c r="BH8" s="177"/>
      <c r="BI8" s="178">
        <f aca="true" t="shared" si="2" ref="BI8:BI23">SUM(BE8:BH8)</f>
        <v>4788.13</v>
      </c>
      <c r="BJ8" s="30"/>
    </row>
    <row r="9" spans="1:62" ht="63.75" customHeight="1">
      <c r="A9" s="12">
        <v>3</v>
      </c>
      <c r="B9" s="13" t="s">
        <v>36</v>
      </c>
      <c r="C9" s="14">
        <v>1</v>
      </c>
      <c r="D9" s="15" t="s">
        <v>5</v>
      </c>
      <c r="E9" s="62">
        <v>19</v>
      </c>
      <c r="F9" s="62">
        <v>151</v>
      </c>
      <c r="G9" s="16">
        <v>1696</v>
      </c>
      <c r="H9" s="60">
        <f>G9</f>
        <v>1696</v>
      </c>
      <c r="I9" s="17">
        <f>55</f>
        <v>55</v>
      </c>
      <c r="J9" s="17">
        <f>H9+I9</f>
        <v>1751</v>
      </c>
      <c r="K9" s="18">
        <v>0.15</v>
      </c>
      <c r="L9" s="16">
        <f>J9*K9</f>
        <v>262.65</v>
      </c>
      <c r="M9" s="16">
        <f>J9+L9</f>
        <v>2013.65</v>
      </c>
      <c r="N9" s="16"/>
      <c r="O9" s="16"/>
      <c r="P9" s="16"/>
      <c r="Q9" s="293"/>
      <c r="R9" s="294"/>
      <c r="S9" s="18">
        <v>1</v>
      </c>
      <c r="T9" s="16">
        <f>H9*S9</f>
        <v>1696</v>
      </c>
      <c r="U9" s="17"/>
      <c r="V9" s="17"/>
      <c r="W9" s="17"/>
      <c r="X9" s="17"/>
      <c r="Y9" s="17"/>
      <c r="Z9" s="16"/>
      <c r="AA9" s="21"/>
      <c r="AB9" s="22"/>
      <c r="AC9" s="21"/>
      <c r="AD9" s="21"/>
      <c r="AE9" s="21"/>
      <c r="AF9" s="16"/>
      <c r="AG9" s="12">
        <v>3</v>
      </c>
      <c r="AH9" s="23" t="s">
        <v>143</v>
      </c>
      <c r="AI9" s="21"/>
      <c r="AJ9" s="21"/>
      <c r="AK9" s="21"/>
      <c r="AL9" s="24">
        <f>AI9+AC9+AA9+Y9+W9+T9+Q9+O9+M9+U9+AK9+AD9+AF9+V9+AE9</f>
        <v>3709.65</v>
      </c>
      <c r="AM9" s="25">
        <f>1617/19*9</f>
        <v>765.95</v>
      </c>
      <c r="AN9" s="26">
        <f>AL9-AM9</f>
        <v>2943.7</v>
      </c>
      <c r="AO9" s="27"/>
      <c r="AP9" s="27">
        <f>AM9*18%</f>
        <v>137.87</v>
      </c>
      <c r="AQ9" s="27">
        <f>(AL9-AO9)*18%-AP9</f>
        <v>529.87</v>
      </c>
      <c r="AR9" s="27"/>
      <c r="AS9" s="28">
        <f>AP9+AQ9+AR9</f>
        <v>667.74</v>
      </c>
      <c r="AT9" s="27">
        <f>AM9*1.5%</f>
        <v>11.49</v>
      </c>
      <c r="AU9" s="27">
        <f>AL9*1.5%-AT9</f>
        <v>44.15</v>
      </c>
      <c r="AV9" s="27"/>
      <c r="AW9" s="27">
        <f>AT9+AU9+AV9</f>
        <v>55.64</v>
      </c>
      <c r="AX9" s="27">
        <f>AM9*1%</f>
        <v>7.66</v>
      </c>
      <c r="AY9" s="27">
        <f>AL9*1%-AX9</f>
        <v>29.44</v>
      </c>
      <c r="AZ9" s="27"/>
      <c r="BA9" s="27">
        <f>AX9+AY9+AZ9</f>
        <v>37.1</v>
      </c>
      <c r="BB9" s="27">
        <f t="shared" si="0"/>
        <v>157.02</v>
      </c>
      <c r="BC9" s="27">
        <f t="shared" si="0"/>
        <v>603.46</v>
      </c>
      <c r="BD9" s="27">
        <f>BB9+BC9</f>
        <v>760.48</v>
      </c>
      <c r="BE9" s="176">
        <f t="shared" si="1"/>
        <v>608.93</v>
      </c>
      <c r="BF9" s="177">
        <f t="shared" si="1"/>
        <v>2340.24</v>
      </c>
      <c r="BG9" s="29"/>
      <c r="BH9" s="177"/>
      <c r="BI9" s="178">
        <f t="shared" si="2"/>
        <v>2949.17</v>
      </c>
      <c r="BJ9" s="30"/>
    </row>
    <row r="10" spans="1:62" ht="93.75" customHeight="1">
      <c r="A10" s="12">
        <v>4</v>
      </c>
      <c r="B10" s="13" t="s">
        <v>37</v>
      </c>
      <c r="C10" s="14">
        <v>1</v>
      </c>
      <c r="D10" s="15" t="s">
        <v>38</v>
      </c>
      <c r="E10" s="62">
        <v>19</v>
      </c>
      <c r="F10" s="62">
        <f>19*8-1</f>
        <v>151</v>
      </c>
      <c r="G10" s="16">
        <v>1378</v>
      </c>
      <c r="H10" s="60">
        <f>G10</f>
        <v>1378</v>
      </c>
      <c r="I10" s="17">
        <f>55</f>
        <v>55</v>
      </c>
      <c r="J10" s="17">
        <f>H10+I10</f>
        <v>1433</v>
      </c>
      <c r="K10" s="18">
        <v>0.2</v>
      </c>
      <c r="L10" s="16">
        <f>J10*K10</f>
        <v>286.6</v>
      </c>
      <c r="M10" s="16">
        <f>J10+L10</f>
        <v>1719.6</v>
      </c>
      <c r="N10" s="16"/>
      <c r="O10" s="16"/>
      <c r="P10" s="16"/>
      <c r="Q10" s="293"/>
      <c r="R10" s="294"/>
      <c r="S10" s="18">
        <v>1</v>
      </c>
      <c r="T10" s="16">
        <f>H10*S10</f>
        <v>1378</v>
      </c>
      <c r="U10" s="17"/>
      <c r="V10" s="17"/>
      <c r="W10" s="17"/>
      <c r="X10" s="17"/>
      <c r="Y10" s="17"/>
      <c r="Z10" s="16"/>
      <c r="AA10" s="21"/>
      <c r="AB10" s="22"/>
      <c r="AC10" s="21"/>
      <c r="AD10" s="21"/>
      <c r="AE10" s="21"/>
      <c r="AF10" s="21"/>
      <c r="AG10" s="12">
        <v>4</v>
      </c>
      <c r="AH10" s="23" t="s">
        <v>144</v>
      </c>
      <c r="AI10" s="21"/>
      <c r="AJ10" s="21"/>
      <c r="AK10" s="21"/>
      <c r="AL10" s="179">
        <f>AI10+AC10+AA10+Y10+W10+T10+Q10+O10+M10+U10+AK10+AD10+AF10+V10+AE10</f>
        <v>3097.6</v>
      </c>
      <c r="AM10" s="25">
        <f>1378/19*9</f>
        <v>652.74</v>
      </c>
      <c r="AN10" s="26">
        <f>AL10-AM10</f>
        <v>2444.86</v>
      </c>
      <c r="AO10" s="27"/>
      <c r="AP10" s="27">
        <f>AM10*18%</f>
        <v>117.49</v>
      </c>
      <c r="AQ10" s="27">
        <f>(AL10-AO10)*18%-AP10</f>
        <v>440.08</v>
      </c>
      <c r="AR10" s="27"/>
      <c r="AS10" s="28">
        <f>AP10+AQ10+AR10</f>
        <v>557.57</v>
      </c>
      <c r="AT10" s="27">
        <f>AM10*1.5%</f>
        <v>9.79</v>
      </c>
      <c r="AU10" s="27">
        <f>AL10*1.5%-AT10</f>
        <v>36.67</v>
      </c>
      <c r="AV10" s="27"/>
      <c r="AW10" s="27">
        <f>AT10+AU10+AV10</f>
        <v>46.46</v>
      </c>
      <c r="AX10" s="27">
        <f>AM10*1%</f>
        <v>6.53</v>
      </c>
      <c r="AY10" s="27">
        <f>AL10*1%-AX10</f>
        <v>24.45</v>
      </c>
      <c r="AZ10" s="27"/>
      <c r="BA10" s="27">
        <f>AX10+AY10+AZ10</f>
        <v>30.98</v>
      </c>
      <c r="BB10" s="27">
        <f t="shared" si="0"/>
        <v>133.81</v>
      </c>
      <c r="BC10" s="27">
        <f t="shared" si="0"/>
        <v>501.2</v>
      </c>
      <c r="BD10" s="27">
        <f>BB10+BC10</f>
        <v>635.01</v>
      </c>
      <c r="BE10" s="176">
        <f t="shared" si="1"/>
        <v>518.93</v>
      </c>
      <c r="BF10" s="177">
        <f t="shared" si="1"/>
        <v>1943.66</v>
      </c>
      <c r="BG10" s="29"/>
      <c r="BH10" s="177"/>
      <c r="BI10" s="178">
        <f t="shared" si="2"/>
        <v>2462.59</v>
      </c>
      <c r="BJ10" s="30"/>
    </row>
    <row r="11" spans="1:62" ht="78.75" customHeight="1">
      <c r="A11" s="50"/>
      <c r="B11" s="32" t="s">
        <v>39</v>
      </c>
      <c r="C11" s="51">
        <f>SUM(C7:C10)</f>
        <v>4</v>
      </c>
      <c r="D11" s="51"/>
      <c r="E11" s="180"/>
      <c r="F11" s="180">
        <f>SUM(F7:F10)</f>
        <v>604</v>
      </c>
      <c r="G11" s="52">
        <f>SUM(G7:G10)</f>
        <v>8658</v>
      </c>
      <c r="H11" s="61">
        <f>SUM(H7:H10)</f>
        <v>8658</v>
      </c>
      <c r="I11" s="33">
        <f>SUM(I7:I10)</f>
        <v>290</v>
      </c>
      <c r="J11" s="33">
        <f>SUM(J7:J10)</f>
        <v>8948</v>
      </c>
      <c r="K11" s="33"/>
      <c r="L11" s="33">
        <f aca="true" t="shared" si="3" ref="L11:R11">SUM(L7:L10)</f>
        <v>1568.05</v>
      </c>
      <c r="M11" s="33">
        <f t="shared" si="3"/>
        <v>10516.05</v>
      </c>
      <c r="N11" s="33">
        <f t="shared" si="3"/>
        <v>0</v>
      </c>
      <c r="O11" s="33">
        <f t="shared" si="3"/>
        <v>0</v>
      </c>
      <c r="P11" s="33">
        <f t="shared" si="3"/>
        <v>0</v>
      </c>
      <c r="Q11" s="33">
        <f t="shared" si="3"/>
        <v>0</v>
      </c>
      <c r="R11" s="33">
        <f t="shared" si="3"/>
        <v>0</v>
      </c>
      <c r="S11" s="33"/>
      <c r="T11" s="33">
        <f aca="true" t="shared" si="4" ref="T11:AF11">SUM(T7:T10)</f>
        <v>8658</v>
      </c>
      <c r="U11" s="33">
        <f t="shared" si="4"/>
        <v>0</v>
      </c>
      <c r="V11" s="33">
        <f t="shared" si="4"/>
        <v>0</v>
      </c>
      <c r="W11" s="33">
        <f t="shared" si="4"/>
        <v>0</v>
      </c>
      <c r="X11" s="33">
        <f t="shared" si="4"/>
        <v>0</v>
      </c>
      <c r="Y11" s="33">
        <f t="shared" si="4"/>
        <v>0</v>
      </c>
      <c r="Z11" s="33">
        <f t="shared" si="4"/>
        <v>0</v>
      </c>
      <c r="AA11" s="33">
        <f t="shared" si="4"/>
        <v>0</v>
      </c>
      <c r="AB11" s="33">
        <f t="shared" si="4"/>
        <v>0</v>
      </c>
      <c r="AC11" s="33">
        <f t="shared" si="4"/>
        <v>0</v>
      </c>
      <c r="AD11" s="33">
        <f t="shared" si="4"/>
        <v>0</v>
      </c>
      <c r="AE11" s="33">
        <f t="shared" si="4"/>
        <v>0</v>
      </c>
      <c r="AF11" s="33">
        <f t="shared" si="4"/>
        <v>0</v>
      </c>
      <c r="AG11" s="12"/>
      <c r="AH11" s="181"/>
      <c r="AI11" s="79">
        <f aca="true" t="shared" si="5" ref="AI11:AN11">SUM(AI7:AI10)</f>
        <v>0</v>
      </c>
      <c r="AJ11" s="79">
        <f t="shared" si="5"/>
        <v>0</v>
      </c>
      <c r="AK11" s="79">
        <f t="shared" si="5"/>
        <v>0</v>
      </c>
      <c r="AL11" s="182">
        <f t="shared" si="5"/>
        <v>19174.05</v>
      </c>
      <c r="AM11" s="79">
        <f>SUM(AM7:AM10)</f>
        <v>2899.9</v>
      </c>
      <c r="AN11" s="33">
        <f t="shared" si="5"/>
        <v>16274.15</v>
      </c>
      <c r="AO11" s="33">
        <f>SUM(AO7:AO10)</f>
        <v>0</v>
      </c>
      <c r="AP11" s="33">
        <f>SUM(AP7:AP10)</f>
        <v>521.98</v>
      </c>
      <c r="AQ11" s="33">
        <f>SUM(AQ7:AQ10)</f>
        <v>2929.35</v>
      </c>
      <c r="AR11" s="33">
        <f>SUM(AR7:AR10)</f>
        <v>0</v>
      </c>
      <c r="AS11" s="33">
        <f>AP11+AQ11</f>
        <v>3451.33</v>
      </c>
      <c r="AT11" s="33">
        <f aca="true" t="shared" si="6" ref="AT11:BI11">SUM(AT7:AT10)</f>
        <v>43.5</v>
      </c>
      <c r="AU11" s="33">
        <f t="shared" si="6"/>
        <v>244.1</v>
      </c>
      <c r="AV11" s="33"/>
      <c r="AW11" s="33">
        <f t="shared" si="6"/>
        <v>287.6</v>
      </c>
      <c r="AX11" s="33">
        <f t="shared" si="6"/>
        <v>29</v>
      </c>
      <c r="AY11" s="33">
        <f t="shared" si="6"/>
        <v>162.75</v>
      </c>
      <c r="AZ11" s="33">
        <f t="shared" si="6"/>
        <v>0</v>
      </c>
      <c r="BA11" s="33">
        <f t="shared" si="6"/>
        <v>191.75</v>
      </c>
      <c r="BB11" s="33">
        <f t="shared" si="6"/>
        <v>594.48</v>
      </c>
      <c r="BC11" s="33">
        <f t="shared" si="6"/>
        <v>3336.2</v>
      </c>
      <c r="BD11" s="33">
        <f t="shared" si="6"/>
        <v>3930.68</v>
      </c>
      <c r="BE11" s="80">
        <f t="shared" si="6"/>
        <v>2305.42</v>
      </c>
      <c r="BF11" s="87">
        <f t="shared" si="6"/>
        <v>12937.95</v>
      </c>
      <c r="BG11" s="80">
        <f t="shared" si="6"/>
        <v>0</v>
      </c>
      <c r="BH11" s="87">
        <f t="shared" si="6"/>
        <v>0</v>
      </c>
      <c r="BI11" s="80">
        <f t="shared" si="6"/>
        <v>15243.37</v>
      </c>
      <c r="BJ11" s="30"/>
    </row>
    <row r="12" spans="1:62" s="49" customFormat="1" ht="96.75" customHeight="1">
      <c r="A12" s="47">
        <v>5</v>
      </c>
      <c r="B12" s="53" t="s">
        <v>61</v>
      </c>
      <c r="C12" s="54">
        <v>1</v>
      </c>
      <c r="D12" s="54" t="s">
        <v>56</v>
      </c>
      <c r="E12" s="62">
        <v>19</v>
      </c>
      <c r="F12" s="62">
        <v>151</v>
      </c>
      <c r="G12" s="55">
        <v>1378</v>
      </c>
      <c r="H12" s="60">
        <v>1378</v>
      </c>
      <c r="I12" s="55"/>
      <c r="J12" s="17">
        <f aca="true" t="shared" si="7" ref="J12:J19">H12+I12</f>
        <v>1378</v>
      </c>
      <c r="K12" s="55"/>
      <c r="L12" s="55"/>
      <c r="M12" s="16">
        <f aca="true" t="shared" si="8" ref="M12:M23">J12+L12</f>
        <v>1378</v>
      </c>
      <c r="N12" s="59">
        <v>0.5</v>
      </c>
      <c r="O12" s="16">
        <f aca="true" t="shared" si="9" ref="O12:O17">M12*N12</f>
        <v>689</v>
      </c>
      <c r="P12" s="55"/>
      <c r="Q12" s="171"/>
      <c r="R12" s="172"/>
      <c r="S12" s="18">
        <v>0.5</v>
      </c>
      <c r="T12" s="16">
        <f>H12*S12</f>
        <v>689</v>
      </c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47">
        <v>5</v>
      </c>
      <c r="AH12" s="183" t="s">
        <v>145</v>
      </c>
      <c r="AI12" s="55"/>
      <c r="AJ12" s="55"/>
      <c r="AK12" s="55"/>
      <c r="AL12" s="179">
        <f>AI12+AC12+AA12+Y12+W12+T12+Q12+O12+M12+U12+AK12+AD12+AF12+V12+AE12+AJ12</f>
        <v>2756</v>
      </c>
      <c r="AM12" s="55">
        <f>1378/19*9</f>
        <v>652.74</v>
      </c>
      <c r="AN12" s="26">
        <f aca="true" t="shared" si="10" ref="AN12:AN23">AL12-AM12</f>
        <v>2103.26</v>
      </c>
      <c r="AO12" s="55"/>
      <c r="AP12" s="27">
        <f>AM12*18%</f>
        <v>117.49</v>
      </c>
      <c r="AQ12" s="27">
        <f aca="true" t="shared" si="11" ref="AQ12:AQ23">(AL12-AO12)*18%-AP12</f>
        <v>378.59</v>
      </c>
      <c r="AR12" s="55"/>
      <c r="AS12" s="28">
        <f>AP12+AQ12+AR12</f>
        <v>496.08</v>
      </c>
      <c r="AT12" s="55">
        <f>AM12*1.5%</f>
        <v>9.79</v>
      </c>
      <c r="AU12" s="55">
        <f>AL12*1.5%-AT12</f>
        <v>31.55</v>
      </c>
      <c r="AV12" s="55"/>
      <c r="AW12" s="55">
        <f>AU12+AT12</f>
        <v>41.34</v>
      </c>
      <c r="AX12" s="55">
        <f>AM12*1%</f>
        <v>6.53</v>
      </c>
      <c r="AY12" s="55">
        <f>AL12*1%-AX12</f>
        <v>21.03</v>
      </c>
      <c r="AZ12" s="27"/>
      <c r="BA12" s="27">
        <f>AX12+AZ12+AY12</f>
        <v>27.56</v>
      </c>
      <c r="BB12" s="27">
        <f>AP12+AT12+AX12</f>
        <v>133.81</v>
      </c>
      <c r="BC12" s="27">
        <f>AQ12+AU12+AY12</f>
        <v>431.17</v>
      </c>
      <c r="BD12" s="27">
        <f>BB12+BC12</f>
        <v>564.98</v>
      </c>
      <c r="BE12" s="176">
        <f>AM12-BB12</f>
        <v>518.93</v>
      </c>
      <c r="BF12" s="177">
        <f>AN12-BC12-23.83</f>
        <v>1648.26</v>
      </c>
      <c r="BG12" s="58"/>
      <c r="BH12" s="55"/>
      <c r="BI12" s="184">
        <f t="shared" si="2"/>
        <v>2167.19</v>
      </c>
      <c r="BJ12" s="48"/>
    </row>
    <row r="13" spans="1:62" ht="78.75" customHeight="1">
      <c r="A13" s="12">
        <v>6</v>
      </c>
      <c r="B13" s="31" t="s">
        <v>41</v>
      </c>
      <c r="C13" s="14">
        <v>1</v>
      </c>
      <c r="D13" s="35" t="s">
        <v>42</v>
      </c>
      <c r="E13" s="63">
        <v>19</v>
      </c>
      <c r="F13" s="63">
        <f>E13*8-1</f>
        <v>151</v>
      </c>
      <c r="G13" s="16">
        <v>1378</v>
      </c>
      <c r="H13" s="60">
        <v>1378</v>
      </c>
      <c r="I13" s="17"/>
      <c r="J13" s="17">
        <f t="shared" si="7"/>
        <v>1378</v>
      </c>
      <c r="K13" s="18">
        <v>0.4</v>
      </c>
      <c r="L13" s="16">
        <f>J13*K13</f>
        <v>551.2</v>
      </c>
      <c r="M13" s="16">
        <f t="shared" si="8"/>
        <v>1929.2</v>
      </c>
      <c r="N13" s="18">
        <v>0.5</v>
      </c>
      <c r="O13" s="16">
        <f>M13*N13</f>
        <v>964.6</v>
      </c>
      <c r="P13" s="38"/>
      <c r="Q13" s="19"/>
      <c r="R13" s="20"/>
      <c r="S13" s="18"/>
      <c r="T13" s="16"/>
      <c r="U13" s="17"/>
      <c r="V13" s="17"/>
      <c r="W13" s="17"/>
      <c r="X13" s="17"/>
      <c r="Y13" s="17"/>
      <c r="Z13" s="16"/>
      <c r="AA13" s="21"/>
      <c r="AB13" s="39"/>
      <c r="AC13" s="27"/>
      <c r="AD13" s="177"/>
      <c r="AE13" s="27"/>
      <c r="AF13" s="36"/>
      <c r="AG13" s="12">
        <v>7</v>
      </c>
      <c r="AH13" s="23" t="s">
        <v>146</v>
      </c>
      <c r="AI13" s="21"/>
      <c r="AJ13" s="21"/>
      <c r="AK13" s="21"/>
      <c r="AL13" s="179">
        <f>AI13+AC13+AA13+Y13+W13+T13+Q13+O13+M13+U13+AK13+AD13+AF13+V13+AE13+AJ13</f>
        <v>2893.8</v>
      </c>
      <c r="AM13" s="36"/>
      <c r="AN13" s="26">
        <f t="shared" si="10"/>
        <v>2893.8</v>
      </c>
      <c r="AO13" s="27"/>
      <c r="AP13" s="27">
        <f aca="true" t="shared" si="12" ref="AP13:AP23">AM13*18%</f>
        <v>0</v>
      </c>
      <c r="AQ13" s="27">
        <f t="shared" si="11"/>
        <v>520.88</v>
      </c>
      <c r="AR13" s="27"/>
      <c r="AS13" s="28">
        <f aca="true" t="shared" si="13" ref="AS13:AS23">AP13+AQ13+AR13</f>
        <v>520.88</v>
      </c>
      <c r="AT13" s="55">
        <f aca="true" t="shared" si="14" ref="AT13:AT23">AM13*1.5%</f>
        <v>0</v>
      </c>
      <c r="AU13" s="55">
        <f aca="true" t="shared" si="15" ref="AU13:AU23">AL13*1.5%-AT13</f>
        <v>43.41</v>
      </c>
      <c r="AV13" s="55"/>
      <c r="AW13" s="55">
        <f aca="true" t="shared" si="16" ref="AW13:AW23">AU13+AT13</f>
        <v>43.41</v>
      </c>
      <c r="AX13" s="55">
        <f aca="true" t="shared" si="17" ref="AX13:AX23">AM13*1%</f>
        <v>0</v>
      </c>
      <c r="AY13" s="55">
        <f aca="true" t="shared" si="18" ref="AY13:AY23">AL13*1%-AX13</f>
        <v>28.94</v>
      </c>
      <c r="AZ13" s="27"/>
      <c r="BA13" s="27">
        <f aca="true" t="shared" si="19" ref="BA13:BA23">AX13+AZ13+AY13</f>
        <v>28.94</v>
      </c>
      <c r="BB13" s="27">
        <f aca="true" t="shared" si="20" ref="BB13:BB23">AP13+AT13+AX13</f>
        <v>0</v>
      </c>
      <c r="BC13" s="27">
        <f>AQ13+AU13+AY13</f>
        <v>593.23</v>
      </c>
      <c r="BD13" s="27">
        <f aca="true" t="shared" si="21" ref="BD13:BD23">BB13+BC13</f>
        <v>593.23</v>
      </c>
      <c r="BE13" s="176"/>
      <c r="BF13" s="177"/>
      <c r="BG13" s="29">
        <f>AM13-BB13</f>
        <v>0</v>
      </c>
      <c r="BH13" s="177">
        <f>AN13-BC13</f>
        <v>2300.57</v>
      </c>
      <c r="BI13" s="178">
        <f t="shared" si="2"/>
        <v>2300.57</v>
      </c>
      <c r="BJ13" s="30"/>
    </row>
    <row r="14" spans="1:62" s="49" customFormat="1" ht="78.75" customHeight="1">
      <c r="A14" s="47">
        <v>7</v>
      </c>
      <c r="B14" s="197" t="s">
        <v>48</v>
      </c>
      <c r="C14" s="198">
        <v>1</v>
      </c>
      <c r="D14" s="199" t="s">
        <v>49</v>
      </c>
      <c r="E14" s="200">
        <v>10</v>
      </c>
      <c r="F14" s="200">
        <f>10*8-1</f>
        <v>79</v>
      </c>
      <c r="G14" s="201">
        <v>1378</v>
      </c>
      <c r="H14" s="201">
        <f>1378/19*10</f>
        <v>725.26</v>
      </c>
      <c r="I14" s="55"/>
      <c r="J14" s="55">
        <f t="shared" si="7"/>
        <v>725.26</v>
      </c>
      <c r="K14" s="59"/>
      <c r="L14" s="55"/>
      <c r="M14" s="55">
        <f t="shared" si="8"/>
        <v>725.26</v>
      </c>
      <c r="N14" s="59">
        <v>0.5</v>
      </c>
      <c r="O14" s="55">
        <f t="shared" si="9"/>
        <v>362.63</v>
      </c>
      <c r="P14" s="59"/>
      <c r="Q14" s="171"/>
      <c r="R14" s="172"/>
      <c r="S14" s="59">
        <v>0.5</v>
      </c>
      <c r="T14" s="55">
        <f>J14*50%</f>
        <v>362.63</v>
      </c>
      <c r="U14" s="55"/>
      <c r="V14" s="55"/>
      <c r="W14" s="55">
        <f>689/19*3</f>
        <v>108.79</v>
      </c>
      <c r="X14" s="55"/>
      <c r="Y14" s="55"/>
      <c r="Z14" s="55"/>
      <c r="AA14" s="192"/>
      <c r="AB14" s="202">
        <v>10</v>
      </c>
      <c r="AC14" s="177">
        <v>694.5</v>
      </c>
      <c r="AD14" s="177"/>
      <c r="AE14" s="177"/>
      <c r="AF14" s="55"/>
      <c r="AG14" s="47">
        <v>8</v>
      </c>
      <c r="AH14" s="183" t="s">
        <v>147</v>
      </c>
      <c r="AI14" s="192"/>
      <c r="AJ14" s="192"/>
      <c r="AK14" s="192"/>
      <c r="AL14" s="186">
        <f>AI14+AC14+AA14+Y14+W14+T14+Q14+O14+M14+U14+AK14+AD14+AF14+V14+AE14+AJ14</f>
        <v>2253.81</v>
      </c>
      <c r="AM14" s="55">
        <f>1378/19*3+694.5</f>
        <v>912.08</v>
      </c>
      <c r="AN14" s="177">
        <f t="shared" si="10"/>
        <v>1341.73</v>
      </c>
      <c r="AO14" s="177"/>
      <c r="AP14" s="177">
        <f t="shared" si="12"/>
        <v>164.17</v>
      </c>
      <c r="AQ14" s="177">
        <f t="shared" si="11"/>
        <v>241.52</v>
      </c>
      <c r="AR14" s="177"/>
      <c r="AS14" s="186">
        <f t="shared" si="13"/>
        <v>405.69</v>
      </c>
      <c r="AT14" s="55">
        <f t="shared" si="14"/>
        <v>13.68</v>
      </c>
      <c r="AU14" s="55">
        <f t="shared" si="15"/>
        <v>20.13</v>
      </c>
      <c r="AV14" s="55"/>
      <c r="AW14" s="55">
        <f t="shared" si="16"/>
        <v>33.81</v>
      </c>
      <c r="AX14" s="55">
        <f t="shared" si="17"/>
        <v>9.12</v>
      </c>
      <c r="AY14" s="55">
        <f t="shared" si="18"/>
        <v>13.42</v>
      </c>
      <c r="AZ14" s="177"/>
      <c r="BA14" s="177">
        <f t="shared" si="19"/>
        <v>22.54</v>
      </c>
      <c r="BB14" s="177">
        <f t="shared" si="20"/>
        <v>186.97</v>
      </c>
      <c r="BC14" s="177">
        <f>AQ14+AU14+AY14</f>
        <v>275.07</v>
      </c>
      <c r="BD14" s="177">
        <f t="shared" si="21"/>
        <v>462.04</v>
      </c>
      <c r="BE14" s="177">
        <f aca="true" t="shared" si="22" ref="BE14:BF23">AM14-BB14</f>
        <v>725.11</v>
      </c>
      <c r="BF14" s="177">
        <f>AN14-BC14</f>
        <v>1066.66</v>
      </c>
      <c r="BG14" s="177"/>
      <c r="BH14" s="177"/>
      <c r="BI14" s="186">
        <f t="shared" si="2"/>
        <v>1791.77</v>
      </c>
      <c r="BJ14" s="48"/>
    </row>
    <row r="15" spans="1:62" s="49" customFormat="1" ht="78.75" customHeight="1">
      <c r="A15" s="47">
        <v>8</v>
      </c>
      <c r="B15" s="53" t="s">
        <v>148</v>
      </c>
      <c r="C15" s="54">
        <v>1</v>
      </c>
      <c r="D15" s="199" t="s">
        <v>50</v>
      </c>
      <c r="E15" s="47"/>
      <c r="F15" s="47"/>
      <c r="G15" s="55">
        <v>1378</v>
      </c>
      <c r="H15" s="55"/>
      <c r="I15" s="55"/>
      <c r="J15" s="55">
        <f t="shared" si="7"/>
        <v>0</v>
      </c>
      <c r="K15" s="59"/>
      <c r="L15" s="55"/>
      <c r="M15" s="55">
        <f t="shared" si="8"/>
        <v>0</v>
      </c>
      <c r="N15" s="59"/>
      <c r="O15" s="55">
        <f t="shared" si="9"/>
        <v>0</v>
      </c>
      <c r="P15" s="59"/>
      <c r="Q15" s="171"/>
      <c r="R15" s="172"/>
      <c r="S15" s="59"/>
      <c r="T15" s="55"/>
      <c r="U15" s="55"/>
      <c r="V15" s="55"/>
      <c r="W15" s="55"/>
      <c r="X15" s="55"/>
      <c r="Y15" s="55"/>
      <c r="Z15" s="55"/>
      <c r="AA15" s="192"/>
      <c r="AB15" s="202">
        <v>10</v>
      </c>
      <c r="AC15" s="177">
        <v>686.3</v>
      </c>
      <c r="AD15" s="177"/>
      <c r="AE15" s="177">
        <v>1378</v>
      </c>
      <c r="AF15" s="55"/>
      <c r="AG15" s="47">
        <v>9</v>
      </c>
      <c r="AH15" s="183" t="s">
        <v>149</v>
      </c>
      <c r="AI15" s="192"/>
      <c r="AJ15" s="192"/>
      <c r="AK15" s="192"/>
      <c r="AL15" s="186">
        <f aca="true" t="shared" si="23" ref="AL15:AL23">AI15+AC15+AA15+Y15+W15+T15+Q15+O15+M15+U15+AK15+AD15+AF15+V15+AE15+AJ15</f>
        <v>2064.3</v>
      </c>
      <c r="AM15" s="55">
        <v>686.3</v>
      </c>
      <c r="AN15" s="177">
        <f t="shared" si="10"/>
        <v>1378</v>
      </c>
      <c r="AO15" s="177"/>
      <c r="AP15" s="177">
        <f t="shared" si="12"/>
        <v>123.53</v>
      </c>
      <c r="AQ15" s="177">
        <f t="shared" si="11"/>
        <v>248.04</v>
      </c>
      <c r="AR15" s="177"/>
      <c r="AS15" s="186">
        <f t="shared" si="13"/>
        <v>371.57</v>
      </c>
      <c r="AT15" s="55">
        <f t="shared" si="14"/>
        <v>10.29</v>
      </c>
      <c r="AU15" s="55">
        <f t="shared" si="15"/>
        <v>20.67</v>
      </c>
      <c r="AV15" s="55"/>
      <c r="AW15" s="55">
        <f t="shared" si="16"/>
        <v>30.96</v>
      </c>
      <c r="AX15" s="55">
        <f t="shared" si="17"/>
        <v>6.86</v>
      </c>
      <c r="AY15" s="55">
        <f t="shared" si="18"/>
        <v>13.78</v>
      </c>
      <c r="AZ15" s="177"/>
      <c r="BA15" s="177">
        <f t="shared" si="19"/>
        <v>20.64</v>
      </c>
      <c r="BB15" s="177">
        <f t="shared" si="20"/>
        <v>140.68</v>
      </c>
      <c r="BC15" s="177">
        <f>AQ15+AU15+AY15</f>
        <v>282.49</v>
      </c>
      <c r="BD15" s="177">
        <f t="shared" si="21"/>
        <v>423.17</v>
      </c>
      <c r="BE15" s="177"/>
      <c r="BF15" s="177"/>
      <c r="BG15" s="177">
        <f>AM15-BB15</f>
        <v>545.62</v>
      </c>
      <c r="BH15" s="177">
        <f>AN15-BC15</f>
        <v>1095.51</v>
      </c>
      <c r="BI15" s="186">
        <f t="shared" si="2"/>
        <v>1641.13</v>
      </c>
      <c r="BJ15" s="48"/>
    </row>
    <row r="16" spans="1:62" s="49" customFormat="1" ht="78.75" customHeight="1">
      <c r="A16" s="47">
        <v>9</v>
      </c>
      <c r="B16" s="53" t="s">
        <v>43</v>
      </c>
      <c r="C16" s="54">
        <v>1</v>
      </c>
      <c r="D16" s="54" t="s">
        <v>44</v>
      </c>
      <c r="E16" s="47">
        <v>13</v>
      </c>
      <c r="F16" s="47">
        <f>8*13-1</f>
        <v>103</v>
      </c>
      <c r="G16" s="55">
        <v>1378</v>
      </c>
      <c r="H16" s="55">
        <f>1378/19*13</f>
        <v>942.84</v>
      </c>
      <c r="I16" s="55"/>
      <c r="J16" s="55">
        <f t="shared" si="7"/>
        <v>942.84</v>
      </c>
      <c r="K16" s="59">
        <v>0.2</v>
      </c>
      <c r="L16" s="55">
        <f>J16*K16</f>
        <v>188.57</v>
      </c>
      <c r="M16" s="55">
        <f>J16+L16</f>
        <v>1131.41</v>
      </c>
      <c r="N16" s="59">
        <v>0.5</v>
      </c>
      <c r="O16" s="55">
        <f>M16*N16</f>
        <v>565.71</v>
      </c>
      <c r="P16" s="55"/>
      <c r="Q16" s="171"/>
      <c r="R16" s="172"/>
      <c r="S16" s="59"/>
      <c r="T16" s="55"/>
      <c r="U16" s="55"/>
      <c r="V16" s="55"/>
      <c r="W16" s="55"/>
      <c r="X16" s="55"/>
      <c r="Y16" s="55"/>
      <c r="Z16" s="55"/>
      <c r="AA16" s="192"/>
      <c r="AB16" s="202"/>
      <c r="AC16" s="177"/>
      <c r="AD16" s="177"/>
      <c r="AE16" s="177"/>
      <c r="AF16" s="55">
        <v>2000</v>
      </c>
      <c r="AG16" s="47">
        <v>10</v>
      </c>
      <c r="AH16" s="183" t="s">
        <v>150</v>
      </c>
      <c r="AI16" s="192"/>
      <c r="AJ16" s="192"/>
      <c r="AK16" s="192"/>
      <c r="AL16" s="186">
        <f t="shared" si="23"/>
        <v>3697.12</v>
      </c>
      <c r="AM16" s="55">
        <f>1378/19*9</f>
        <v>652.74</v>
      </c>
      <c r="AN16" s="177">
        <f t="shared" si="10"/>
        <v>3044.38</v>
      </c>
      <c r="AO16" s="177"/>
      <c r="AP16" s="177">
        <f t="shared" si="12"/>
        <v>117.49</v>
      </c>
      <c r="AQ16" s="177">
        <f t="shared" si="11"/>
        <v>547.99</v>
      </c>
      <c r="AR16" s="177"/>
      <c r="AS16" s="186">
        <f t="shared" si="13"/>
        <v>665.48</v>
      </c>
      <c r="AT16" s="55">
        <f t="shared" si="14"/>
        <v>9.79</v>
      </c>
      <c r="AU16" s="55">
        <f t="shared" si="15"/>
        <v>45.67</v>
      </c>
      <c r="AV16" s="55"/>
      <c r="AW16" s="55">
        <f t="shared" si="16"/>
        <v>55.46</v>
      </c>
      <c r="AX16" s="55">
        <f t="shared" si="17"/>
        <v>6.53</v>
      </c>
      <c r="AY16" s="55">
        <f t="shared" si="18"/>
        <v>30.44</v>
      </c>
      <c r="AZ16" s="177"/>
      <c r="BA16" s="177">
        <f t="shared" si="19"/>
        <v>36.97</v>
      </c>
      <c r="BB16" s="177">
        <f t="shared" si="20"/>
        <v>133.81</v>
      </c>
      <c r="BC16" s="177">
        <f>AQ16+AU16+AY16</f>
        <v>624.1</v>
      </c>
      <c r="BD16" s="177">
        <f t="shared" si="21"/>
        <v>757.91</v>
      </c>
      <c r="BE16" s="177">
        <f t="shared" si="22"/>
        <v>518.93</v>
      </c>
      <c r="BF16" s="177">
        <f>AN16-BC16</f>
        <v>2420.28</v>
      </c>
      <c r="BG16" s="177"/>
      <c r="BH16" s="177"/>
      <c r="BI16" s="186">
        <f t="shared" si="2"/>
        <v>2939.21</v>
      </c>
      <c r="BJ16" s="48"/>
    </row>
    <row r="17" spans="1:62" s="49" customFormat="1" ht="78.75" customHeight="1">
      <c r="A17" s="47">
        <v>10</v>
      </c>
      <c r="B17" s="53" t="s">
        <v>45</v>
      </c>
      <c r="C17" s="54">
        <v>1</v>
      </c>
      <c r="D17" s="54" t="s">
        <v>44</v>
      </c>
      <c r="E17" s="47">
        <v>19</v>
      </c>
      <c r="F17" s="47">
        <v>151</v>
      </c>
      <c r="G17" s="55">
        <v>1378</v>
      </c>
      <c r="H17" s="55">
        <v>1378</v>
      </c>
      <c r="I17" s="55"/>
      <c r="J17" s="55">
        <f t="shared" si="7"/>
        <v>1378</v>
      </c>
      <c r="K17" s="59">
        <v>0.1</v>
      </c>
      <c r="L17" s="55">
        <f>J17*K17</f>
        <v>137.8</v>
      </c>
      <c r="M17" s="55">
        <f t="shared" si="8"/>
        <v>1515.8</v>
      </c>
      <c r="N17" s="59">
        <v>0.5</v>
      </c>
      <c r="O17" s="55">
        <f t="shared" si="9"/>
        <v>757.9</v>
      </c>
      <c r="P17" s="55"/>
      <c r="Q17" s="171"/>
      <c r="R17" s="172"/>
      <c r="S17" s="59"/>
      <c r="T17" s="55"/>
      <c r="U17" s="55"/>
      <c r="V17" s="55"/>
      <c r="W17" s="55"/>
      <c r="X17" s="55"/>
      <c r="Y17" s="55"/>
      <c r="Z17" s="55"/>
      <c r="AA17" s="192"/>
      <c r="AB17" s="202"/>
      <c r="AC17" s="177"/>
      <c r="AD17" s="177"/>
      <c r="AE17" s="177"/>
      <c r="AF17" s="55"/>
      <c r="AG17" s="47">
        <v>11</v>
      </c>
      <c r="AH17" s="183" t="s">
        <v>151</v>
      </c>
      <c r="AI17" s="192"/>
      <c r="AJ17" s="192"/>
      <c r="AK17" s="192"/>
      <c r="AL17" s="186">
        <f t="shared" si="23"/>
        <v>2273.7</v>
      </c>
      <c r="AM17" s="55"/>
      <c r="AN17" s="177">
        <f t="shared" si="10"/>
        <v>2273.7</v>
      </c>
      <c r="AO17" s="177"/>
      <c r="AP17" s="177">
        <f t="shared" si="12"/>
        <v>0</v>
      </c>
      <c r="AQ17" s="177">
        <f t="shared" si="11"/>
        <v>409.27</v>
      </c>
      <c r="AR17" s="177"/>
      <c r="AS17" s="186">
        <f t="shared" si="13"/>
        <v>409.27</v>
      </c>
      <c r="AT17" s="55">
        <f t="shared" si="14"/>
        <v>0</v>
      </c>
      <c r="AU17" s="55">
        <f t="shared" si="15"/>
        <v>34.11</v>
      </c>
      <c r="AV17" s="55"/>
      <c r="AW17" s="55">
        <f t="shared" si="16"/>
        <v>34.11</v>
      </c>
      <c r="AX17" s="55">
        <f t="shared" si="17"/>
        <v>0</v>
      </c>
      <c r="AY17" s="55">
        <f t="shared" si="18"/>
        <v>22.74</v>
      </c>
      <c r="AZ17" s="177"/>
      <c r="BA17" s="177">
        <f t="shared" si="19"/>
        <v>22.74</v>
      </c>
      <c r="BB17" s="177">
        <f t="shared" si="20"/>
        <v>0</v>
      </c>
      <c r="BC17" s="177">
        <f>AQ17+AU17+AY17</f>
        <v>466.12</v>
      </c>
      <c r="BD17" s="177">
        <f t="shared" si="21"/>
        <v>466.12</v>
      </c>
      <c r="BE17" s="177"/>
      <c r="BF17" s="177"/>
      <c r="BG17" s="177">
        <f>AM17-BB17</f>
        <v>0</v>
      </c>
      <c r="BH17" s="177">
        <f>AN17-BC17</f>
        <v>1807.58</v>
      </c>
      <c r="BI17" s="186">
        <f t="shared" si="2"/>
        <v>1807.58</v>
      </c>
      <c r="BJ17" s="48"/>
    </row>
    <row r="18" spans="1:62" s="49" customFormat="1" ht="78.75" customHeight="1">
      <c r="A18" s="47">
        <v>11</v>
      </c>
      <c r="B18" s="53" t="s">
        <v>46</v>
      </c>
      <c r="C18" s="54">
        <v>0.5</v>
      </c>
      <c r="D18" s="54" t="s">
        <v>62</v>
      </c>
      <c r="E18" s="47">
        <v>19</v>
      </c>
      <c r="F18" s="47" t="s">
        <v>152</v>
      </c>
      <c r="G18" s="55">
        <v>689</v>
      </c>
      <c r="H18" s="55">
        <v>689</v>
      </c>
      <c r="I18" s="55"/>
      <c r="J18" s="55">
        <f t="shared" si="7"/>
        <v>689</v>
      </c>
      <c r="K18" s="59"/>
      <c r="L18" s="55"/>
      <c r="M18" s="55">
        <f t="shared" si="8"/>
        <v>689</v>
      </c>
      <c r="N18" s="59"/>
      <c r="O18" s="55"/>
      <c r="P18" s="59">
        <v>0.1</v>
      </c>
      <c r="Q18" s="171">
        <f>J18*P18</f>
        <v>68.9</v>
      </c>
      <c r="R18" s="172"/>
      <c r="S18" s="59"/>
      <c r="T18" s="55">
        <f>H18*S18</f>
        <v>0</v>
      </c>
      <c r="U18" s="55"/>
      <c r="V18" s="55"/>
      <c r="W18" s="55">
        <v>689</v>
      </c>
      <c r="X18" s="55"/>
      <c r="Y18" s="55"/>
      <c r="Z18" s="55"/>
      <c r="AA18" s="192"/>
      <c r="AB18" s="202"/>
      <c r="AC18" s="177"/>
      <c r="AD18" s="177"/>
      <c r="AE18" s="177"/>
      <c r="AF18" s="177"/>
      <c r="AG18" s="47">
        <v>12</v>
      </c>
      <c r="AH18" s="183" t="s">
        <v>153</v>
      </c>
      <c r="AI18" s="192"/>
      <c r="AJ18" s="192"/>
      <c r="AK18" s="192"/>
      <c r="AL18" s="186">
        <f t="shared" si="23"/>
        <v>1446.9</v>
      </c>
      <c r="AM18" s="55"/>
      <c r="AN18" s="177">
        <f t="shared" si="10"/>
        <v>1446.9</v>
      </c>
      <c r="AO18" s="177">
        <v>689</v>
      </c>
      <c r="AP18" s="177">
        <f t="shared" si="12"/>
        <v>0</v>
      </c>
      <c r="AQ18" s="177">
        <f>(AL18-AO18)*18%-AP18</f>
        <v>136.42</v>
      </c>
      <c r="AR18" s="177">
        <v>-91.35</v>
      </c>
      <c r="AS18" s="186">
        <f>AP18+AQ18+AR18</f>
        <v>45.07</v>
      </c>
      <c r="AT18" s="55">
        <f t="shared" si="14"/>
        <v>0</v>
      </c>
      <c r="AU18" s="55">
        <f t="shared" si="15"/>
        <v>21.7</v>
      </c>
      <c r="AV18" s="55"/>
      <c r="AW18" s="55">
        <f t="shared" si="16"/>
        <v>21.7</v>
      </c>
      <c r="AX18" s="55">
        <f t="shared" si="17"/>
        <v>0</v>
      </c>
      <c r="AY18" s="55">
        <f t="shared" si="18"/>
        <v>14.47</v>
      </c>
      <c r="AZ18" s="177"/>
      <c r="BA18" s="177">
        <f t="shared" si="19"/>
        <v>14.47</v>
      </c>
      <c r="BB18" s="177">
        <f t="shared" si="20"/>
        <v>0</v>
      </c>
      <c r="BC18" s="177">
        <f aca="true" t="shared" si="24" ref="BC18:BC23">AQ18+AU18+AY18+AR18</f>
        <v>81.24</v>
      </c>
      <c r="BD18" s="177">
        <f t="shared" si="21"/>
        <v>81.24</v>
      </c>
      <c r="BE18" s="177">
        <f t="shared" si="22"/>
        <v>0</v>
      </c>
      <c r="BF18" s="177">
        <f t="shared" si="22"/>
        <v>1365.66</v>
      </c>
      <c r="BG18" s="177"/>
      <c r="BH18" s="177"/>
      <c r="BI18" s="186">
        <f t="shared" si="2"/>
        <v>1365.66</v>
      </c>
      <c r="BJ18" s="48"/>
    </row>
    <row r="19" spans="1:62" ht="78.75" customHeight="1">
      <c r="A19" s="12">
        <v>12</v>
      </c>
      <c r="B19" s="31" t="s">
        <v>154</v>
      </c>
      <c r="C19" s="14">
        <v>1</v>
      </c>
      <c r="D19" s="23" t="s">
        <v>155</v>
      </c>
      <c r="E19" s="63">
        <v>5</v>
      </c>
      <c r="F19" s="63">
        <f>5*8-1</f>
        <v>39</v>
      </c>
      <c r="G19" s="16">
        <v>1378</v>
      </c>
      <c r="H19" s="60">
        <f>1378/19*5</f>
        <v>362.63</v>
      </c>
      <c r="I19" s="17"/>
      <c r="J19" s="17">
        <f t="shared" si="7"/>
        <v>362.63</v>
      </c>
      <c r="K19" s="18"/>
      <c r="L19" s="16"/>
      <c r="M19" s="16">
        <f t="shared" si="8"/>
        <v>362.63</v>
      </c>
      <c r="N19" s="18"/>
      <c r="O19" s="16"/>
      <c r="P19" s="18">
        <v>0.35</v>
      </c>
      <c r="Q19" s="19">
        <f>J19*P19</f>
        <v>126.92</v>
      </c>
      <c r="R19" s="20"/>
      <c r="S19" s="18"/>
      <c r="T19" s="16">
        <f>H19*S19</f>
        <v>0</v>
      </c>
      <c r="U19" s="17"/>
      <c r="V19" s="17"/>
      <c r="W19" s="17"/>
      <c r="X19" s="17"/>
      <c r="Y19" s="17"/>
      <c r="Z19" s="16"/>
      <c r="AA19" s="21"/>
      <c r="AB19" s="39"/>
      <c r="AC19" s="27"/>
      <c r="AD19" s="27"/>
      <c r="AE19" s="27">
        <v>1378</v>
      </c>
      <c r="AF19" s="27"/>
      <c r="AG19" s="12">
        <v>13</v>
      </c>
      <c r="AH19" s="23" t="s">
        <v>156</v>
      </c>
      <c r="AI19" s="21"/>
      <c r="AJ19" s="21"/>
      <c r="AK19" s="21"/>
      <c r="AL19" s="24">
        <f t="shared" si="23"/>
        <v>1867.55</v>
      </c>
      <c r="AM19" s="36">
        <v>1867.55</v>
      </c>
      <c r="AN19" s="26">
        <f t="shared" si="10"/>
        <v>0</v>
      </c>
      <c r="AO19" s="27"/>
      <c r="AP19" s="27">
        <f t="shared" si="12"/>
        <v>336.16</v>
      </c>
      <c r="AQ19" s="27">
        <f t="shared" si="11"/>
        <v>0</v>
      </c>
      <c r="AR19" s="27"/>
      <c r="AS19" s="28">
        <f t="shared" si="13"/>
        <v>336.16</v>
      </c>
      <c r="AT19" s="55">
        <f t="shared" si="14"/>
        <v>28.01</v>
      </c>
      <c r="AU19" s="55">
        <f t="shared" si="15"/>
        <v>0</v>
      </c>
      <c r="AV19" s="55">
        <v>-42.33</v>
      </c>
      <c r="AW19" s="55">
        <f>AU19+AT19+AV19</f>
        <v>-14.32</v>
      </c>
      <c r="AX19" s="55">
        <f t="shared" si="17"/>
        <v>18.68</v>
      </c>
      <c r="AY19" s="55">
        <f t="shared" si="18"/>
        <v>0</v>
      </c>
      <c r="AZ19" s="27">
        <v>-28.22</v>
      </c>
      <c r="BA19" s="27">
        <f t="shared" si="19"/>
        <v>-9.54</v>
      </c>
      <c r="BB19" s="27">
        <f>AP19+AT19+AX19+AV19+AZ19</f>
        <v>312.3</v>
      </c>
      <c r="BC19" s="27">
        <f t="shared" si="24"/>
        <v>0</v>
      </c>
      <c r="BD19" s="27">
        <f t="shared" si="21"/>
        <v>312.3</v>
      </c>
      <c r="BE19" s="29">
        <f t="shared" si="22"/>
        <v>1555.25</v>
      </c>
      <c r="BF19" s="177">
        <f t="shared" si="22"/>
        <v>0</v>
      </c>
      <c r="BG19" s="29"/>
      <c r="BH19" s="177"/>
      <c r="BI19" s="178">
        <f t="shared" si="2"/>
        <v>1555.25</v>
      </c>
      <c r="BJ19" s="30"/>
    </row>
    <row r="20" spans="1:62" ht="78.75" customHeight="1">
      <c r="A20" s="47">
        <v>13</v>
      </c>
      <c r="B20" s="23" t="s">
        <v>157</v>
      </c>
      <c r="C20" s="23">
        <v>1</v>
      </c>
      <c r="D20" s="23" t="s">
        <v>155</v>
      </c>
      <c r="E20" s="63">
        <v>5</v>
      </c>
      <c r="F20" s="63">
        <f>5*8-1</f>
        <v>39</v>
      </c>
      <c r="G20" s="16">
        <v>1378</v>
      </c>
      <c r="H20" s="60">
        <f>1378/19*5</f>
        <v>362.63</v>
      </c>
      <c r="I20" s="17"/>
      <c r="J20" s="17">
        <f>H20</f>
        <v>362.63</v>
      </c>
      <c r="K20" s="18"/>
      <c r="L20" s="16"/>
      <c r="M20" s="16">
        <f t="shared" si="8"/>
        <v>362.63</v>
      </c>
      <c r="N20" s="16"/>
      <c r="O20" s="16"/>
      <c r="P20" s="38">
        <v>0.35</v>
      </c>
      <c r="Q20" s="19">
        <f>J20*P20</f>
        <v>126.92</v>
      </c>
      <c r="R20" s="20"/>
      <c r="S20" s="18"/>
      <c r="T20" s="16"/>
      <c r="U20" s="17"/>
      <c r="V20" s="17"/>
      <c r="W20" s="17"/>
      <c r="X20" s="17"/>
      <c r="Y20" s="17"/>
      <c r="Z20" s="16"/>
      <c r="AA20" s="21"/>
      <c r="AB20" s="39"/>
      <c r="AC20" s="27"/>
      <c r="AD20" s="27"/>
      <c r="AE20" s="27"/>
      <c r="AF20" s="27"/>
      <c r="AG20" s="12">
        <v>14</v>
      </c>
      <c r="AH20" s="23" t="s">
        <v>158</v>
      </c>
      <c r="AI20" s="21"/>
      <c r="AJ20" s="21"/>
      <c r="AK20" s="21"/>
      <c r="AL20" s="24">
        <f t="shared" si="23"/>
        <v>489.55</v>
      </c>
      <c r="AM20" s="36"/>
      <c r="AN20" s="26">
        <f t="shared" si="10"/>
        <v>489.55</v>
      </c>
      <c r="AO20" s="27"/>
      <c r="AP20" s="27">
        <f t="shared" si="12"/>
        <v>0</v>
      </c>
      <c r="AQ20" s="27">
        <f t="shared" si="11"/>
        <v>88.12</v>
      </c>
      <c r="AR20" s="27"/>
      <c r="AS20" s="28">
        <f t="shared" si="13"/>
        <v>88.12</v>
      </c>
      <c r="AT20" s="55">
        <f t="shared" si="14"/>
        <v>0</v>
      </c>
      <c r="AU20" s="55">
        <f t="shared" si="15"/>
        <v>7.34</v>
      </c>
      <c r="AV20" s="55"/>
      <c r="AW20" s="55">
        <f t="shared" si="16"/>
        <v>7.34</v>
      </c>
      <c r="AX20" s="55">
        <f t="shared" si="17"/>
        <v>0</v>
      </c>
      <c r="AY20" s="55">
        <f t="shared" si="18"/>
        <v>4.9</v>
      </c>
      <c r="AZ20" s="27"/>
      <c r="BA20" s="27">
        <f t="shared" si="19"/>
        <v>4.9</v>
      </c>
      <c r="BB20" s="27">
        <f t="shared" si="20"/>
        <v>0</v>
      </c>
      <c r="BC20" s="27">
        <f t="shared" si="24"/>
        <v>100.36</v>
      </c>
      <c r="BD20" s="27">
        <f t="shared" si="21"/>
        <v>100.36</v>
      </c>
      <c r="BE20" s="29">
        <f t="shared" si="22"/>
        <v>0</v>
      </c>
      <c r="BF20" s="177">
        <f t="shared" si="22"/>
        <v>389.19</v>
      </c>
      <c r="BG20" s="29"/>
      <c r="BH20" s="177"/>
      <c r="BI20" s="178">
        <f t="shared" si="2"/>
        <v>389.19</v>
      </c>
      <c r="BJ20" s="30"/>
    </row>
    <row r="21" spans="1:62" s="49" customFormat="1" ht="99.75" customHeight="1">
      <c r="A21" s="47">
        <v>14</v>
      </c>
      <c r="B21" s="183" t="s">
        <v>57</v>
      </c>
      <c r="C21" s="183">
        <v>1</v>
      </c>
      <c r="D21" s="183" t="s">
        <v>52</v>
      </c>
      <c r="E21" s="47">
        <v>19</v>
      </c>
      <c r="F21" s="47">
        <v>151</v>
      </c>
      <c r="G21" s="55">
        <v>1378</v>
      </c>
      <c r="H21" s="55">
        <v>1378</v>
      </c>
      <c r="I21" s="55"/>
      <c r="J21" s="55">
        <f>H21</f>
        <v>1378</v>
      </c>
      <c r="K21" s="59"/>
      <c r="L21" s="55"/>
      <c r="M21" s="55">
        <f t="shared" si="8"/>
        <v>1378</v>
      </c>
      <c r="N21" s="55"/>
      <c r="O21" s="55"/>
      <c r="P21" s="59">
        <v>0.1</v>
      </c>
      <c r="Q21" s="171">
        <f>J21*P21</f>
        <v>137.8</v>
      </c>
      <c r="R21" s="172"/>
      <c r="S21" s="59"/>
      <c r="T21" s="55"/>
      <c r="U21" s="55"/>
      <c r="V21" s="55"/>
      <c r="W21" s="55"/>
      <c r="X21" s="55"/>
      <c r="Y21" s="55"/>
      <c r="Z21" s="55"/>
      <c r="AA21" s="192"/>
      <c r="AB21" s="202"/>
      <c r="AC21" s="177"/>
      <c r="AD21" s="177"/>
      <c r="AE21" s="177"/>
      <c r="AF21" s="177"/>
      <c r="AG21" s="47">
        <v>15</v>
      </c>
      <c r="AH21" s="183" t="s">
        <v>57</v>
      </c>
      <c r="AI21" s="192"/>
      <c r="AJ21" s="192"/>
      <c r="AK21" s="192"/>
      <c r="AL21" s="186">
        <f t="shared" si="23"/>
        <v>1515.8</v>
      </c>
      <c r="AM21" s="55">
        <f>1378/19*9</f>
        <v>652.74</v>
      </c>
      <c r="AN21" s="177">
        <f t="shared" si="10"/>
        <v>863.06</v>
      </c>
      <c r="AO21" s="177">
        <v>689</v>
      </c>
      <c r="AP21" s="177">
        <f t="shared" si="12"/>
        <v>117.49</v>
      </c>
      <c r="AQ21" s="177">
        <f>(AL21-AO21)*18%-AP21</f>
        <v>31.33</v>
      </c>
      <c r="AR21" s="177">
        <v>-91.35</v>
      </c>
      <c r="AS21" s="186">
        <f>AP21+AQ21+AR21</f>
        <v>57.47</v>
      </c>
      <c r="AT21" s="55">
        <f t="shared" si="14"/>
        <v>9.79</v>
      </c>
      <c r="AU21" s="55">
        <f t="shared" si="15"/>
        <v>12.95</v>
      </c>
      <c r="AV21" s="55"/>
      <c r="AW21" s="55">
        <f t="shared" si="16"/>
        <v>22.74</v>
      </c>
      <c r="AX21" s="55">
        <f t="shared" si="17"/>
        <v>6.53</v>
      </c>
      <c r="AY21" s="55">
        <f t="shared" si="18"/>
        <v>8.63</v>
      </c>
      <c r="AZ21" s="177"/>
      <c r="BA21" s="177">
        <f t="shared" si="19"/>
        <v>15.16</v>
      </c>
      <c r="BB21" s="177">
        <f t="shared" si="20"/>
        <v>133.81</v>
      </c>
      <c r="BC21" s="177">
        <f t="shared" si="24"/>
        <v>-38.44</v>
      </c>
      <c r="BD21" s="177">
        <f t="shared" si="21"/>
        <v>95.37</v>
      </c>
      <c r="BE21" s="177">
        <f t="shared" si="22"/>
        <v>518.93</v>
      </c>
      <c r="BF21" s="177">
        <f t="shared" si="22"/>
        <v>901.5</v>
      </c>
      <c r="BG21" s="177"/>
      <c r="BH21" s="177"/>
      <c r="BI21" s="186">
        <f>SUM(BE21:BH21)</f>
        <v>1420.43</v>
      </c>
      <c r="BJ21" s="48"/>
    </row>
    <row r="22" spans="1:62" s="49" customFormat="1" ht="90" customHeight="1">
      <c r="A22" s="47">
        <v>15</v>
      </c>
      <c r="B22" s="183" t="s">
        <v>59</v>
      </c>
      <c r="C22" s="183">
        <v>1</v>
      </c>
      <c r="D22" s="183" t="s">
        <v>52</v>
      </c>
      <c r="E22" s="47">
        <v>19</v>
      </c>
      <c r="F22" s="47">
        <v>151</v>
      </c>
      <c r="G22" s="55">
        <v>1378</v>
      </c>
      <c r="H22" s="55">
        <v>1378</v>
      </c>
      <c r="I22" s="55"/>
      <c r="J22" s="55">
        <f>H22</f>
        <v>1378</v>
      </c>
      <c r="K22" s="59"/>
      <c r="L22" s="55"/>
      <c r="M22" s="55">
        <f t="shared" si="8"/>
        <v>1378</v>
      </c>
      <c r="N22" s="55"/>
      <c r="O22" s="55"/>
      <c r="P22" s="59">
        <v>0.1</v>
      </c>
      <c r="Q22" s="171">
        <f>J22*P22</f>
        <v>137.8</v>
      </c>
      <c r="R22" s="172"/>
      <c r="S22" s="59"/>
      <c r="T22" s="55">
        <f>H22*S22</f>
        <v>0</v>
      </c>
      <c r="U22" s="55"/>
      <c r="V22" s="55"/>
      <c r="W22" s="55"/>
      <c r="X22" s="55"/>
      <c r="Y22" s="55"/>
      <c r="Z22" s="55"/>
      <c r="AA22" s="192"/>
      <c r="AB22" s="202"/>
      <c r="AC22" s="177"/>
      <c r="AD22" s="177"/>
      <c r="AE22" s="177"/>
      <c r="AF22" s="177"/>
      <c r="AG22" s="47">
        <v>16</v>
      </c>
      <c r="AH22" s="183" t="s">
        <v>59</v>
      </c>
      <c r="AI22" s="192"/>
      <c r="AJ22" s="192"/>
      <c r="AK22" s="192"/>
      <c r="AL22" s="186">
        <f t="shared" si="23"/>
        <v>1515.8</v>
      </c>
      <c r="AM22" s="55">
        <f>1378/19*9</f>
        <v>652.74</v>
      </c>
      <c r="AN22" s="177">
        <f t="shared" si="10"/>
        <v>863.06</v>
      </c>
      <c r="AO22" s="177">
        <v>1033.5</v>
      </c>
      <c r="AP22" s="177">
        <f t="shared" si="12"/>
        <v>117.49</v>
      </c>
      <c r="AQ22" s="177">
        <f>(AL22-AO22)*18%-AP22</f>
        <v>-30.68</v>
      </c>
      <c r="AR22" s="177">
        <v>-137.02</v>
      </c>
      <c r="AS22" s="186">
        <f>AP22+AQ22+AR22</f>
        <v>-50.21</v>
      </c>
      <c r="AT22" s="55">
        <f t="shared" si="14"/>
        <v>9.79</v>
      </c>
      <c r="AU22" s="55">
        <f t="shared" si="15"/>
        <v>12.95</v>
      </c>
      <c r="AV22" s="55"/>
      <c r="AW22" s="55">
        <f t="shared" si="16"/>
        <v>22.74</v>
      </c>
      <c r="AX22" s="55">
        <f t="shared" si="17"/>
        <v>6.53</v>
      </c>
      <c r="AY22" s="55">
        <f t="shared" si="18"/>
        <v>8.63</v>
      </c>
      <c r="AZ22" s="177"/>
      <c r="BA22" s="177">
        <f t="shared" si="19"/>
        <v>15.16</v>
      </c>
      <c r="BB22" s="177">
        <f t="shared" si="20"/>
        <v>133.81</v>
      </c>
      <c r="BC22" s="177">
        <f t="shared" si="24"/>
        <v>-146.12</v>
      </c>
      <c r="BD22" s="177">
        <f t="shared" si="21"/>
        <v>-12.31</v>
      </c>
      <c r="BE22" s="177">
        <f t="shared" si="22"/>
        <v>518.93</v>
      </c>
      <c r="BF22" s="177">
        <f t="shared" si="22"/>
        <v>1009.18</v>
      </c>
      <c r="BG22" s="177"/>
      <c r="BH22" s="177"/>
      <c r="BI22" s="186">
        <f t="shared" si="2"/>
        <v>1528.11</v>
      </c>
      <c r="BJ22" s="48"/>
    </row>
    <row r="23" spans="1:62" ht="90" customHeight="1">
      <c r="A23" s="12">
        <v>16</v>
      </c>
      <c r="B23" s="23" t="s">
        <v>157</v>
      </c>
      <c r="C23" s="23"/>
      <c r="D23" s="23"/>
      <c r="E23" s="63"/>
      <c r="F23" s="63"/>
      <c r="G23" s="16"/>
      <c r="H23" s="60"/>
      <c r="I23" s="17"/>
      <c r="J23" s="17">
        <f>H23</f>
        <v>0</v>
      </c>
      <c r="K23" s="18"/>
      <c r="L23" s="16"/>
      <c r="M23" s="16">
        <f t="shared" si="8"/>
        <v>0</v>
      </c>
      <c r="N23" s="16"/>
      <c r="O23" s="16"/>
      <c r="P23" s="38">
        <v>0.35</v>
      </c>
      <c r="Q23" s="19">
        <f>H23*P23</f>
        <v>0</v>
      </c>
      <c r="R23" s="20"/>
      <c r="S23" s="18"/>
      <c r="T23" s="16">
        <f>H23*S23</f>
        <v>0</v>
      </c>
      <c r="U23" s="17"/>
      <c r="V23" s="17"/>
      <c r="W23" s="17"/>
      <c r="X23" s="17">
        <v>5</v>
      </c>
      <c r="Y23" s="17">
        <v>322.7</v>
      </c>
      <c r="Z23" s="16"/>
      <c r="AA23" s="21"/>
      <c r="AB23" s="39"/>
      <c r="AC23" s="27"/>
      <c r="AD23" s="27"/>
      <c r="AE23" s="27"/>
      <c r="AF23" s="27"/>
      <c r="AG23" s="12"/>
      <c r="AH23" s="23" t="s">
        <v>158</v>
      </c>
      <c r="AI23" s="21"/>
      <c r="AJ23" s="21"/>
      <c r="AK23" s="21"/>
      <c r="AL23" s="24">
        <f t="shared" si="23"/>
        <v>322.7</v>
      </c>
      <c r="AM23" s="36"/>
      <c r="AN23" s="26">
        <f t="shared" si="10"/>
        <v>322.7</v>
      </c>
      <c r="AO23" s="27"/>
      <c r="AP23" s="27">
        <f t="shared" si="12"/>
        <v>0</v>
      </c>
      <c r="AQ23" s="27">
        <f t="shared" si="11"/>
        <v>58.09</v>
      </c>
      <c r="AR23" s="27"/>
      <c r="AS23" s="28">
        <f t="shared" si="13"/>
        <v>58.09</v>
      </c>
      <c r="AT23" s="55">
        <f t="shared" si="14"/>
        <v>0</v>
      </c>
      <c r="AU23" s="55">
        <f t="shared" si="15"/>
        <v>4.84</v>
      </c>
      <c r="AV23" s="55"/>
      <c r="AW23" s="55">
        <f t="shared" si="16"/>
        <v>4.84</v>
      </c>
      <c r="AX23" s="55">
        <f t="shared" si="17"/>
        <v>0</v>
      </c>
      <c r="AY23" s="55">
        <f t="shared" si="18"/>
        <v>3.23</v>
      </c>
      <c r="AZ23" s="27"/>
      <c r="BA23" s="27">
        <f t="shared" si="19"/>
        <v>3.23</v>
      </c>
      <c r="BB23" s="27">
        <f t="shared" si="20"/>
        <v>0</v>
      </c>
      <c r="BC23" s="27">
        <f t="shared" si="24"/>
        <v>66.16</v>
      </c>
      <c r="BD23" s="27">
        <f t="shared" si="21"/>
        <v>66.16</v>
      </c>
      <c r="BE23" s="29">
        <f t="shared" si="22"/>
        <v>0</v>
      </c>
      <c r="BF23" s="177">
        <f t="shared" si="22"/>
        <v>256.54</v>
      </c>
      <c r="BG23" s="29"/>
      <c r="BH23" s="177"/>
      <c r="BI23" s="178">
        <f t="shared" si="2"/>
        <v>256.54</v>
      </c>
      <c r="BJ23" s="30"/>
    </row>
    <row r="24" spans="1:62" ht="78.75" customHeight="1">
      <c r="A24" s="12"/>
      <c r="B24" s="40" t="s">
        <v>12</v>
      </c>
      <c r="C24" s="40">
        <f>SUM(C13:C22)</f>
        <v>9.5</v>
      </c>
      <c r="D24" s="40"/>
      <c r="E24" s="64"/>
      <c r="F24" s="64">
        <f>SUM(F13:F23)</f>
        <v>864</v>
      </c>
      <c r="G24" s="185">
        <f>SUM(G13:G23)</f>
        <v>13091</v>
      </c>
      <c r="H24" s="61">
        <f>SUM(H12:H23)</f>
        <v>9972.36</v>
      </c>
      <c r="I24" s="33">
        <f>SUM(I12:I23)</f>
        <v>0</v>
      </c>
      <c r="J24" s="33">
        <f>SUM(J12:J23)</f>
        <v>9972.36</v>
      </c>
      <c r="K24" s="33"/>
      <c r="L24" s="33">
        <f>SUM(L12:L23)</f>
        <v>877.57</v>
      </c>
      <c r="M24" s="33">
        <f>SUM(M12:M23)</f>
        <v>10849.93</v>
      </c>
      <c r="N24" s="33"/>
      <c r="O24" s="33">
        <f>SUM(O12:O23)</f>
        <v>3339.84</v>
      </c>
      <c r="P24" s="33"/>
      <c r="Q24" s="33">
        <f>SUM(Q12:Q23)</f>
        <v>598.34</v>
      </c>
      <c r="R24" s="33">
        <f>SUM(R12:R23)</f>
        <v>0</v>
      </c>
      <c r="S24" s="33"/>
      <c r="T24" s="33">
        <f>SUM(T12:T23)</f>
        <v>1051.63</v>
      </c>
      <c r="U24" s="33">
        <f>SUM(U12:U23)</f>
        <v>0</v>
      </c>
      <c r="V24" s="33">
        <f>SUM(V12:V23)</f>
        <v>0</v>
      </c>
      <c r="W24" s="33">
        <f>SUM(W12:W23)</f>
        <v>797.79</v>
      </c>
      <c r="X24" s="33"/>
      <c r="Y24" s="33">
        <f>SUM(Y12:Y23)</f>
        <v>322.7</v>
      </c>
      <c r="Z24" s="33"/>
      <c r="AA24" s="33">
        <f>SUM(AA12:AA23)</f>
        <v>0</v>
      </c>
      <c r="AB24" s="33"/>
      <c r="AC24" s="33">
        <f>SUM(AC12:AC23)</f>
        <v>1380.8</v>
      </c>
      <c r="AD24" s="33">
        <f>SUM(AD12:AD23)</f>
        <v>0</v>
      </c>
      <c r="AE24" s="33">
        <f>SUM(AE12:AE23)</f>
        <v>2756</v>
      </c>
      <c r="AF24" s="33">
        <f>SUM(AF12:AF23)</f>
        <v>2000</v>
      </c>
      <c r="AG24" s="12"/>
      <c r="AH24" s="40"/>
      <c r="AI24" s="33">
        <f>SUM(AI13:AI22)</f>
        <v>0</v>
      </c>
      <c r="AJ24" s="33">
        <f>SUM(AJ13:AJ22)</f>
        <v>0</v>
      </c>
      <c r="AK24" s="33">
        <f>SUM(AK13:AK22)</f>
        <v>0</v>
      </c>
      <c r="AL24" s="24">
        <f aca="true" t="shared" si="25" ref="AL24:AV24">SUM(AL12:AL23)</f>
        <v>23097.03</v>
      </c>
      <c r="AM24" s="24">
        <f t="shared" si="25"/>
        <v>6076.89</v>
      </c>
      <c r="AN24" s="24">
        <f t="shared" si="25"/>
        <v>17020.14</v>
      </c>
      <c r="AO24" s="24">
        <f t="shared" si="25"/>
        <v>2411.5</v>
      </c>
      <c r="AP24" s="24">
        <f t="shared" si="25"/>
        <v>1093.82</v>
      </c>
      <c r="AQ24" s="24">
        <f t="shared" si="25"/>
        <v>2629.57</v>
      </c>
      <c r="AR24" s="24">
        <f t="shared" si="25"/>
        <v>-319.72</v>
      </c>
      <c r="AS24" s="24">
        <f>SUM(AS12:AS23)</f>
        <v>3403.67</v>
      </c>
      <c r="AT24" s="24">
        <f t="shared" si="25"/>
        <v>91.14</v>
      </c>
      <c r="AU24" s="24">
        <f t="shared" si="25"/>
        <v>255.32</v>
      </c>
      <c r="AV24" s="24">
        <f t="shared" si="25"/>
        <v>-42.33</v>
      </c>
      <c r="AW24" s="24">
        <f aca="true" t="shared" si="26" ref="AW24:BB24">SUM(AW12:AW23)</f>
        <v>304.13</v>
      </c>
      <c r="AX24" s="24">
        <f t="shared" si="26"/>
        <v>60.78</v>
      </c>
      <c r="AY24" s="24">
        <f t="shared" si="26"/>
        <v>170.21</v>
      </c>
      <c r="AZ24" s="24">
        <f t="shared" si="26"/>
        <v>-28.22</v>
      </c>
      <c r="BA24" s="24">
        <f t="shared" si="26"/>
        <v>202.77</v>
      </c>
      <c r="BB24" s="24">
        <f t="shared" si="26"/>
        <v>1175.19</v>
      </c>
      <c r="BC24" s="24">
        <f aca="true" t="shared" si="27" ref="BC24:BI24">SUM(BC12:BC23)</f>
        <v>2735.38</v>
      </c>
      <c r="BD24" s="24">
        <f t="shared" si="27"/>
        <v>3910.57</v>
      </c>
      <c r="BE24" s="24">
        <f t="shared" si="27"/>
        <v>4356.08</v>
      </c>
      <c r="BF24" s="186">
        <f t="shared" si="27"/>
        <v>9057.27</v>
      </c>
      <c r="BG24" s="24">
        <f t="shared" si="27"/>
        <v>545.62</v>
      </c>
      <c r="BH24" s="186">
        <f t="shared" si="27"/>
        <v>5203.66</v>
      </c>
      <c r="BI24" s="24">
        <f t="shared" si="27"/>
        <v>19162.63</v>
      </c>
      <c r="BJ24" s="30"/>
    </row>
    <row r="25" spans="1:62" ht="78.75" customHeight="1">
      <c r="A25" s="12"/>
      <c r="B25" s="40" t="s">
        <v>3</v>
      </c>
      <c r="C25" s="40">
        <f>C24+C11</f>
        <v>13.5</v>
      </c>
      <c r="D25" s="40"/>
      <c r="E25" s="64"/>
      <c r="F25" s="64">
        <f>F24+F11</f>
        <v>1468</v>
      </c>
      <c r="G25" s="33">
        <f>G24+G11</f>
        <v>21749</v>
      </c>
      <c r="H25" s="61">
        <f>H11+H24</f>
        <v>18630.36</v>
      </c>
      <c r="I25" s="33">
        <f>I24+I11</f>
        <v>290</v>
      </c>
      <c r="J25" s="33">
        <f>J24+J11</f>
        <v>18920.36</v>
      </c>
      <c r="K25" s="41"/>
      <c r="L25" s="33">
        <f>L24+L11</f>
        <v>2445.62</v>
      </c>
      <c r="M25" s="33">
        <f>M24+M11</f>
        <v>21365.98</v>
      </c>
      <c r="N25" s="33"/>
      <c r="O25" s="33">
        <f>O24+O11</f>
        <v>3339.84</v>
      </c>
      <c r="P25" s="33"/>
      <c r="Q25" s="33">
        <f>Q24+Q11</f>
        <v>598.34</v>
      </c>
      <c r="R25" s="33">
        <f>R24+R11</f>
        <v>0</v>
      </c>
      <c r="S25" s="33"/>
      <c r="T25" s="33">
        <f>T24+T11</f>
        <v>9709.63</v>
      </c>
      <c r="U25" s="33">
        <f>U24+U11</f>
        <v>0</v>
      </c>
      <c r="V25" s="33">
        <f>V24+V11</f>
        <v>0</v>
      </c>
      <c r="W25" s="33">
        <f>W24+W11</f>
        <v>797.79</v>
      </c>
      <c r="X25" s="33"/>
      <c r="Y25" s="33">
        <f>Y24+Y11</f>
        <v>322.7</v>
      </c>
      <c r="Z25" s="33"/>
      <c r="AA25" s="33">
        <f>AA24+AA11</f>
        <v>0</v>
      </c>
      <c r="AB25" s="34"/>
      <c r="AC25" s="33">
        <f>AC24+AC11</f>
        <v>1380.8</v>
      </c>
      <c r="AD25" s="33">
        <f>AD24+AD11</f>
        <v>0</v>
      </c>
      <c r="AE25" s="33">
        <f>AE24+AE11</f>
        <v>2756</v>
      </c>
      <c r="AF25" s="33">
        <f>AF24+AF11</f>
        <v>2000</v>
      </c>
      <c r="AG25" s="12"/>
      <c r="AH25" s="40"/>
      <c r="AI25" s="33">
        <f>AI24+AI11</f>
        <v>0</v>
      </c>
      <c r="AJ25" s="33">
        <f>AJ24+AJ11</f>
        <v>0</v>
      </c>
      <c r="AK25" s="33">
        <f>AK24+AK11</f>
        <v>0</v>
      </c>
      <c r="AL25" s="24">
        <f>AL11+AL24</f>
        <v>42271.08</v>
      </c>
      <c r="AM25" s="33">
        <f>AM24+AM11</f>
        <v>8976.79</v>
      </c>
      <c r="AN25" s="33">
        <f>AL25-AM25</f>
        <v>33294.29</v>
      </c>
      <c r="AO25" s="33">
        <f>AO24+AO11</f>
        <v>2411.5</v>
      </c>
      <c r="AP25" s="33">
        <f>AP24+AP11</f>
        <v>1615.8</v>
      </c>
      <c r="AQ25" s="33">
        <f>AQ24+AQ11</f>
        <v>5558.92</v>
      </c>
      <c r="AR25" s="33">
        <f>AR24+AR11</f>
        <v>-319.72</v>
      </c>
      <c r="AS25" s="33">
        <f>AS11+AS24</f>
        <v>6855</v>
      </c>
      <c r="AT25" s="33">
        <f aca="true" t="shared" si="28" ref="AT25:AY25">AT24+AT11</f>
        <v>134.64</v>
      </c>
      <c r="AU25" s="33">
        <f t="shared" si="28"/>
        <v>499.42</v>
      </c>
      <c r="AV25" s="33">
        <f t="shared" si="28"/>
        <v>-42.33</v>
      </c>
      <c r="AW25" s="33">
        <f t="shared" si="28"/>
        <v>591.73</v>
      </c>
      <c r="AX25" s="33">
        <f t="shared" si="28"/>
        <v>89.78</v>
      </c>
      <c r="AY25" s="33">
        <f t="shared" si="28"/>
        <v>332.96</v>
      </c>
      <c r="AZ25" s="33">
        <f>AZ11+AZ24</f>
        <v>-28.22</v>
      </c>
      <c r="BA25" s="33">
        <f>BA24+BA11</f>
        <v>394.52</v>
      </c>
      <c r="BB25" s="33">
        <f>BB24+BB11</f>
        <v>1769.67</v>
      </c>
      <c r="BC25" s="33">
        <f>BC24+BC11</f>
        <v>6071.58</v>
      </c>
      <c r="BD25" s="33">
        <f>BD24+BD11</f>
        <v>7841.25</v>
      </c>
      <c r="BE25" s="33">
        <f>BE24+BE11</f>
        <v>6661.5</v>
      </c>
      <c r="BF25" s="87">
        <f>BF11+BF24</f>
        <v>21995.22</v>
      </c>
      <c r="BG25" s="33">
        <f>BG24+BG11</f>
        <v>545.62</v>
      </c>
      <c r="BH25" s="87">
        <f>BH24+BH11</f>
        <v>5203.66</v>
      </c>
      <c r="BI25" s="33">
        <f>BI24+BI11</f>
        <v>34406</v>
      </c>
      <c r="BJ25" s="30"/>
    </row>
    <row r="26" spans="1:62" ht="72.75" customHeight="1">
      <c r="A26" s="43"/>
      <c r="B26" s="187" t="s">
        <v>148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6"/>
      <c r="V26" s="46"/>
      <c r="W26" s="46"/>
      <c r="X26" s="46"/>
      <c r="Y26" s="46"/>
      <c r="Z26" s="43">
        <v>10</v>
      </c>
      <c r="AA26" s="188">
        <v>815.8</v>
      </c>
      <c r="AB26" s="43"/>
      <c r="AC26" s="43"/>
      <c r="AD26" s="43"/>
      <c r="AE26" s="43"/>
      <c r="AF26" s="43"/>
      <c r="AG26" s="189"/>
      <c r="AH26" s="190" t="s">
        <v>149</v>
      </c>
      <c r="AI26" s="43"/>
      <c r="AJ26" s="43"/>
      <c r="AK26" s="43"/>
      <c r="AL26" s="191">
        <f>AA26</f>
        <v>815.8</v>
      </c>
      <c r="AM26" s="43"/>
      <c r="AN26" s="43"/>
      <c r="AO26" s="43"/>
      <c r="AP26" s="43"/>
      <c r="AQ26" s="27">
        <f>AL26*18%</f>
        <v>146.84</v>
      </c>
      <c r="AR26" s="27"/>
      <c r="AS26" s="27"/>
      <c r="AT26" s="27"/>
      <c r="AU26" s="27">
        <f>AL26*1.5%</f>
        <v>12.24</v>
      </c>
      <c r="AV26" s="27"/>
      <c r="AW26" s="27"/>
      <c r="AX26" s="27"/>
      <c r="AY26" s="27">
        <f>AL26*1%</f>
        <v>8.16</v>
      </c>
      <c r="AZ26" s="27"/>
      <c r="BA26" s="21"/>
      <c r="BB26" s="21"/>
      <c r="BC26" s="21"/>
      <c r="BD26" s="21">
        <f>AQ26+AU26+AY26</f>
        <v>167.24</v>
      </c>
      <c r="BE26" s="43"/>
      <c r="BF26" s="192">
        <v>0</v>
      </c>
      <c r="BG26" s="21"/>
      <c r="BH26" s="192">
        <f>AL26-BD26</f>
        <v>648.56</v>
      </c>
      <c r="BI26" s="21">
        <f>SUM(BE26:BH26)</f>
        <v>648.56</v>
      </c>
      <c r="BJ26" s="30"/>
    </row>
    <row r="27" spans="1:62" ht="56.25" customHeight="1">
      <c r="A27" s="43"/>
      <c r="B27" s="190" t="s">
        <v>157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6"/>
      <c r="V27" s="46"/>
      <c r="W27" s="46"/>
      <c r="X27" s="46"/>
      <c r="Y27" s="46"/>
      <c r="Z27" s="43">
        <v>4</v>
      </c>
      <c r="AA27" s="43">
        <v>258.16</v>
      </c>
      <c r="AB27" s="43"/>
      <c r="AC27" s="43"/>
      <c r="AD27" s="43"/>
      <c r="AE27" s="43"/>
      <c r="AF27" s="43"/>
      <c r="AG27" s="43"/>
      <c r="AH27" s="23" t="s">
        <v>158</v>
      </c>
      <c r="AI27" s="43"/>
      <c r="AJ27" s="43"/>
      <c r="AK27" s="43"/>
      <c r="AL27" s="191">
        <f>AA27</f>
        <v>258.16</v>
      </c>
      <c r="AM27" s="43"/>
      <c r="AN27" s="43"/>
      <c r="AO27" s="43"/>
      <c r="AP27" s="43"/>
      <c r="AQ27" s="27">
        <f>AL27*18%</f>
        <v>46.47</v>
      </c>
      <c r="AR27" s="43"/>
      <c r="AS27" s="43"/>
      <c r="AT27" s="43"/>
      <c r="AU27" s="27">
        <f>AL27*1.5%</f>
        <v>3.87</v>
      </c>
      <c r="AV27" s="43"/>
      <c r="AW27" s="43"/>
      <c r="AX27" s="43"/>
      <c r="AY27" s="27">
        <f>AL27*1%</f>
        <v>2.58</v>
      </c>
      <c r="AZ27" s="27"/>
      <c r="BA27" s="21"/>
      <c r="BB27" s="21"/>
      <c r="BC27" s="21"/>
      <c r="BD27" s="21">
        <f>AQ27+AU27+AY27</f>
        <v>52.92</v>
      </c>
      <c r="BE27" s="43"/>
      <c r="BF27" s="192">
        <f>AL27-BD27</f>
        <v>205.24</v>
      </c>
      <c r="BG27" s="43"/>
      <c r="BH27" s="192">
        <v>0</v>
      </c>
      <c r="BI27" s="21">
        <f>SUM(BE27:BH27)</f>
        <v>205.24</v>
      </c>
      <c r="BJ27" s="30"/>
    </row>
    <row r="28" spans="1:62" ht="54" customHeight="1">
      <c r="A28" s="193"/>
      <c r="B28" s="193" t="s">
        <v>6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4">
        <f>AA26+AA27</f>
        <v>1073.96</v>
      </c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4">
        <f>AL26+AL27</f>
        <v>1073.96</v>
      </c>
      <c r="AM28" s="194">
        <f aca="true" t="shared" si="29" ref="AM28:BI28">AM26+AM27</f>
        <v>0</v>
      </c>
      <c r="AN28" s="194">
        <f t="shared" si="29"/>
        <v>0</v>
      </c>
      <c r="AO28" s="194">
        <f t="shared" si="29"/>
        <v>0</v>
      </c>
      <c r="AP28" s="194">
        <f t="shared" si="29"/>
        <v>0</v>
      </c>
      <c r="AQ28" s="194">
        <f t="shared" si="29"/>
        <v>193.31</v>
      </c>
      <c r="AR28" s="194">
        <f t="shared" si="29"/>
        <v>0</v>
      </c>
      <c r="AS28" s="194">
        <f t="shared" si="29"/>
        <v>0</v>
      </c>
      <c r="AT28" s="194">
        <f t="shared" si="29"/>
        <v>0</v>
      </c>
      <c r="AU28" s="194">
        <f t="shared" si="29"/>
        <v>16.11</v>
      </c>
      <c r="AV28" s="194">
        <f t="shared" si="29"/>
        <v>0</v>
      </c>
      <c r="AW28" s="194">
        <f t="shared" si="29"/>
        <v>0</v>
      </c>
      <c r="AX28" s="194">
        <f t="shared" si="29"/>
        <v>0</v>
      </c>
      <c r="AY28" s="194">
        <f t="shared" si="29"/>
        <v>10.74</v>
      </c>
      <c r="AZ28" s="194">
        <f t="shared" si="29"/>
        <v>0</v>
      </c>
      <c r="BA28" s="194">
        <f t="shared" si="29"/>
        <v>0</v>
      </c>
      <c r="BB28" s="194">
        <f t="shared" si="29"/>
        <v>0</v>
      </c>
      <c r="BC28" s="194">
        <f t="shared" si="29"/>
        <v>0</v>
      </c>
      <c r="BD28" s="194">
        <f t="shared" si="29"/>
        <v>220.16</v>
      </c>
      <c r="BE28" s="194">
        <f t="shared" si="29"/>
        <v>0</v>
      </c>
      <c r="BF28" s="194">
        <f t="shared" si="29"/>
        <v>205.24</v>
      </c>
      <c r="BG28" s="194">
        <f t="shared" si="29"/>
        <v>0</v>
      </c>
      <c r="BH28" s="194">
        <f t="shared" si="29"/>
        <v>648.56</v>
      </c>
      <c r="BI28" s="194">
        <f t="shared" si="29"/>
        <v>853.8</v>
      </c>
      <c r="BJ28" s="30"/>
    </row>
    <row r="29" spans="1:62" ht="54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95"/>
      <c r="T29" s="43"/>
      <c r="U29" s="46"/>
      <c r="V29" s="46"/>
      <c r="W29" s="46"/>
      <c r="X29" s="46"/>
      <c r="Y29" s="46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5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196"/>
      <c r="BG29" s="43"/>
      <c r="BH29" s="196"/>
      <c r="BI29" s="43"/>
      <c r="BJ29" s="30"/>
    </row>
    <row r="30" spans="21:62" ht="54" customHeight="1">
      <c r="U30" s="42"/>
      <c r="V30" s="42"/>
      <c r="W30" s="42"/>
      <c r="X30" s="42"/>
      <c r="Y30" s="42"/>
      <c r="BJ30" s="30"/>
    </row>
    <row r="31" spans="21:62" ht="54" customHeight="1">
      <c r="U31" s="42"/>
      <c r="V31" s="42"/>
      <c r="W31" s="42"/>
      <c r="X31" s="42"/>
      <c r="Y31" s="42"/>
      <c r="BJ31" s="30"/>
    </row>
    <row r="32" spans="21:62" ht="54" customHeight="1">
      <c r="U32" s="42"/>
      <c r="V32" s="42"/>
      <c r="W32" s="42"/>
      <c r="X32" s="42"/>
      <c r="Y32" s="42"/>
      <c r="BJ32" s="30"/>
    </row>
    <row r="33" spans="21:62" ht="54" customHeight="1">
      <c r="U33" s="42"/>
      <c r="V33" s="42"/>
      <c r="W33" s="42"/>
      <c r="X33" s="42"/>
      <c r="Y33" s="42"/>
      <c r="BJ33" s="30"/>
    </row>
    <row r="34" spans="21:62" ht="54" customHeight="1">
      <c r="U34" s="42"/>
      <c r="V34" s="42"/>
      <c r="W34" s="42"/>
      <c r="X34" s="42"/>
      <c r="Y34" s="42"/>
      <c r="BJ34" s="30"/>
    </row>
    <row r="35" spans="21:62" ht="54" customHeight="1">
      <c r="U35" s="42"/>
      <c r="V35" s="42"/>
      <c r="W35" s="42"/>
      <c r="X35" s="42"/>
      <c r="Y35" s="42"/>
      <c r="BJ35" s="30"/>
    </row>
    <row r="36" spans="21:62" ht="54" customHeight="1">
      <c r="U36" s="42"/>
      <c r="V36" s="42"/>
      <c r="W36" s="42"/>
      <c r="X36" s="42"/>
      <c r="Y36" s="42"/>
      <c r="BJ36" s="30"/>
    </row>
    <row r="37" spans="21:62" ht="54" customHeight="1">
      <c r="U37" s="42"/>
      <c r="V37" s="42"/>
      <c r="W37" s="42"/>
      <c r="X37" s="42"/>
      <c r="Y37" s="42"/>
      <c r="BJ37" s="30"/>
    </row>
    <row r="38" spans="21:62" ht="54" customHeight="1">
      <c r="U38" s="42"/>
      <c r="V38" s="42"/>
      <c r="W38" s="42"/>
      <c r="X38" s="42"/>
      <c r="Y38" s="42"/>
      <c r="BJ38" s="30"/>
    </row>
    <row r="39" spans="21:62" ht="54" customHeight="1">
      <c r="U39" s="42"/>
      <c r="V39" s="42"/>
      <c r="W39" s="42"/>
      <c r="X39" s="42"/>
      <c r="Y39" s="42"/>
      <c r="BJ39" s="30"/>
    </row>
    <row r="40" spans="21:62" ht="54" customHeight="1">
      <c r="U40" s="42"/>
      <c r="V40" s="42"/>
      <c r="W40" s="42"/>
      <c r="X40" s="42"/>
      <c r="Y40" s="42"/>
      <c r="BJ40" s="30"/>
    </row>
    <row r="41" spans="21:25" ht="54" customHeight="1">
      <c r="U41" s="42"/>
      <c r="V41" s="42"/>
      <c r="W41" s="42"/>
      <c r="X41" s="42"/>
      <c r="Y41" s="42"/>
    </row>
    <row r="42" spans="21:25" ht="54" customHeight="1">
      <c r="U42" s="42"/>
      <c r="V42" s="42"/>
      <c r="W42" s="42"/>
      <c r="X42" s="42"/>
      <c r="Y42" s="42"/>
    </row>
    <row r="43" spans="21:25" ht="54" customHeight="1">
      <c r="U43" s="42"/>
      <c r="V43" s="42"/>
      <c r="W43" s="42"/>
      <c r="X43" s="42"/>
      <c r="Y43" s="42"/>
    </row>
  </sheetData>
  <sheetProtection/>
  <mergeCells count="63">
    <mergeCell ref="A1:AA1"/>
    <mergeCell ref="AH1:BI1"/>
    <mergeCell ref="A2:AA3"/>
    <mergeCell ref="AH2:BI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L5"/>
    <mergeCell ref="M4:M6"/>
    <mergeCell ref="N4:Q4"/>
    <mergeCell ref="S4:T5"/>
    <mergeCell ref="U4:U6"/>
    <mergeCell ref="V4:V6"/>
    <mergeCell ref="W4:W6"/>
    <mergeCell ref="X4:AA4"/>
    <mergeCell ref="AB4:AC5"/>
    <mergeCell ref="AD4:AD5"/>
    <mergeCell ref="AE4:AE5"/>
    <mergeCell ref="AF4:AF5"/>
    <mergeCell ref="AG4:AG6"/>
    <mergeCell ref="AH4:AH6"/>
    <mergeCell ref="AI4:AI6"/>
    <mergeCell ref="AJ4:AJ6"/>
    <mergeCell ref="AK4:AK6"/>
    <mergeCell ref="AL4:AL6"/>
    <mergeCell ref="AM4:AM6"/>
    <mergeCell ref="AN4:AN6"/>
    <mergeCell ref="AO4:BB4"/>
    <mergeCell ref="BE4:BH4"/>
    <mergeCell ref="BI4:BI6"/>
    <mergeCell ref="N5:O5"/>
    <mergeCell ref="P5:Q5"/>
    <mergeCell ref="X5:Y5"/>
    <mergeCell ref="Z5:AA5"/>
    <mergeCell ref="AO5:AO6"/>
    <mergeCell ref="AP5:AQ5"/>
    <mergeCell ref="AR5:AR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Q10:R10"/>
    <mergeCell ref="BE5:BF5"/>
    <mergeCell ref="BG5:BH5"/>
    <mergeCell ref="Q6:R6"/>
    <mergeCell ref="Q7:R7"/>
    <mergeCell ref="Q8:R8"/>
    <mergeCell ref="Q9:R9"/>
    <mergeCell ref="AY5:AY6"/>
    <mergeCell ref="AZ5:AZ6"/>
    <mergeCell ref="BA5:BA6"/>
  </mergeCells>
  <printOptions/>
  <pageMargins left="0" right="0" top="0" bottom="0" header="0.31496062992125984" footer="0.31496062992125984"/>
  <pageSetup fitToWidth="2" horizontalDpi="600" verticalDpi="600" orientation="landscape" paperSize="9" scale="19" r:id="rId2"/>
  <colBreaks count="1" manualBreakCount="1">
    <brk id="3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0"/>
  <sheetViews>
    <sheetView view="pageBreakPreview" zoomScale="30" zoomScaleNormal="25" zoomScaleSheetLayoutView="30" zoomScalePageLayoutView="0" workbookViewId="0" topLeftCell="A1">
      <selection activeCell="F7" sqref="F1:AG16384"/>
    </sheetView>
  </sheetViews>
  <sheetFormatPr defaultColWidth="15.7109375" defaultRowHeight="54" customHeight="1"/>
  <cols>
    <col min="1" max="1" width="10.28125" style="2" customWidth="1"/>
    <col min="2" max="2" width="49.140625" style="2" customWidth="1"/>
    <col min="3" max="3" width="15.28125" style="2" customWidth="1"/>
    <col min="4" max="4" width="46.8515625" style="2" customWidth="1"/>
    <col min="5" max="5" width="21.00390625" style="2" customWidth="1"/>
    <col min="6" max="6" width="19.7109375" style="2" customWidth="1"/>
    <col min="7" max="7" width="37.8515625" style="2" customWidth="1"/>
    <col min="8" max="8" width="35.00390625" style="2" customWidth="1"/>
    <col min="9" max="9" width="24.00390625" style="2" customWidth="1"/>
    <col min="10" max="10" width="27.140625" style="2" customWidth="1"/>
    <col min="11" max="11" width="19.00390625" style="2" customWidth="1"/>
    <col min="12" max="12" width="22.8515625" style="2" customWidth="1"/>
    <col min="13" max="13" width="25.421875" style="2" customWidth="1"/>
    <col min="14" max="14" width="15.7109375" style="2" customWidth="1"/>
    <col min="15" max="15" width="26.8515625" style="2" customWidth="1"/>
    <col min="16" max="16" width="18.28125" style="2" customWidth="1"/>
    <col min="17" max="17" width="24.7109375" style="2" customWidth="1"/>
    <col min="18" max="18" width="15.7109375" style="2" customWidth="1"/>
    <col min="19" max="19" width="18.00390625" style="2" customWidth="1"/>
    <col min="20" max="20" width="28.140625" style="2" customWidth="1"/>
    <col min="21" max="21" width="20.421875" style="2" customWidth="1"/>
    <col min="22" max="22" width="25.8515625" style="2" customWidth="1"/>
    <col min="23" max="23" width="23.57421875" style="2" customWidth="1"/>
    <col min="24" max="24" width="15.7109375" style="2" customWidth="1"/>
    <col min="25" max="25" width="22.421875" style="2" customWidth="1"/>
    <col min="26" max="26" width="15.7109375" style="2" customWidth="1"/>
    <col min="27" max="27" width="23.140625" style="2" customWidth="1"/>
    <col min="28" max="28" width="15.7109375" style="2" customWidth="1"/>
    <col min="29" max="29" width="24.00390625" style="2" customWidth="1"/>
    <col min="30" max="30" width="22.140625" style="2" customWidth="1"/>
    <col min="31" max="31" width="24.28125" style="2" customWidth="1"/>
    <col min="32" max="32" width="23.7109375" style="2" customWidth="1"/>
    <col min="33" max="33" width="39.57421875" style="37" customWidth="1"/>
    <col min="34" max="34" width="31.7109375" style="37" customWidth="1"/>
    <col min="35" max="47" width="31.7109375" style="2" customWidth="1"/>
    <col min="48" max="48" width="34.7109375" style="2" customWidth="1"/>
    <col min="49" max="49" width="37.00390625" style="2" customWidth="1"/>
    <col min="50" max="50" width="33.28125" style="2" customWidth="1"/>
    <col min="51" max="51" width="35.57421875" style="2" customWidth="1"/>
    <col min="52" max="52" width="28.421875" style="2" customWidth="1"/>
    <col min="53" max="53" width="28.421875" style="37" customWidth="1"/>
    <col min="54" max="54" width="31.28125" style="2" customWidth="1"/>
    <col min="55" max="56" width="38.00390625" style="2" customWidth="1"/>
    <col min="57" max="16384" width="15.7109375" style="2" customWidth="1"/>
  </cols>
  <sheetData>
    <row r="1" spans="1:58" ht="54" customHeight="1">
      <c r="A1" s="337" t="s">
        <v>67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1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1"/>
      <c r="BD1" s="1"/>
      <c r="BE1" s="3"/>
      <c r="BF1" s="3"/>
    </row>
    <row r="2" spans="1:58" ht="52.5" customHeight="1">
      <c r="A2" s="337" t="s">
        <v>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1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1"/>
      <c r="BD2" s="1"/>
      <c r="BE2" s="3"/>
      <c r="BF2" s="3"/>
    </row>
    <row r="3" spans="1:58" ht="17.25" customHeight="1" hidden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1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69"/>
      <c r="BD3" s="69"/>
      <c r="BE3" s="3"/>
      <c r="BF3" s="3"/>
    </row>
    <row r="4" spans="1:56" ht="54" customHeight="1">
      <c r="A4" s="298" t="s">
        <v>0</v>
      </c>
      <c r="B4" s="298" t="s">
        <v>40</v>
      </c>
      <c r="C4" s="339" t="s">
        <v>53</v>
      </c>
      <c r="D4" s="298" t="s">
        <v>21</v>
      </c>
      <c r="E4" s="298" t="s">
        <v>1</v>
      </c>
      <c r="F4" s="298" t="s">
        <v>2</v>
      </c>
      <c r="G4" s="301" t="s">
        <v>65</v>
      </c>
      <c r="H4" s="301" t="s">
        <v>66</v>
      </c>
      <c r="I4" s="336" t="s">
        <v>7</v>
      </c>
      <c r="J4" s="336" t="s">
        <v>6</v>
      </c>
      <c r="K4" s="320" t="s">
        <v>8</v>
      </c>
      <c r="L4" s="321"/>
      <c r="M4" s="336" t="s">
        <v>6</v>
      </c>
      <c r="N4" s="320" t="s">
        <v>9</v>
      </c>
      <c r="O4" s="325"/>
      <c r="P4" s="325"/>
      <c r="Q4" s="325"/>
      <c r="R4" s="6"/>
      <c r="S4" s="320" t="s">
        <v>10</v>
      </c>
      <c r="T4" s="321"/>
      <c r="U4" s="328" t="s">
        <v>11</v>
      </c>
      <c r="V4" s="328" t="s">
        <v>58</v>
      </c>
      <c r="W4" s="333" t="s">
        <v>47</v>
      </c>
      <c r="X4" s="320" t="s">
        <v>26</v>
      </c>
      <c r="Y4" s="325"/>
      <c r="Z4" s="325"/>
      <c r="AA4" s="321"/>
      <c r="AB4" s="320" t="s">
        <v>30</v>
      </c>
      <c r="AC4" s="321"/>
      <c r="AD4" s="339" t="s">
        <v>76</v>
      </c>
      <c r="AE4" s="342" t="s">
        <v>55</v>
      </c>
      <c r="AF4" s="339" t="s">
        <v>77</v>
      </c>
      <c r="AG4" s="313" t="s">
        <v>13</v>
      </c>
      <c r="AH4" s="353" t="s">
        <v>68</v>
      </c>
      <c r="AI4" s="314" t="s">
        <v>31</v>
      </c>
      <c r="AJ4" s="317" t="s">
        <v>32</v>
      </c>
      <c r="AK4" s="304" t="s">
        <v>72</v>
      </c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295" t="s">
        <v>18</v>
      </c>
      <c r="AX4" s="358"/>
      <c r="AY4" s="358"/>
      <c r="AZ4" s="358"/>
      <c r="BA4" s="358"/>
      <c r="BB4" s="296"/>
      <c r="BC4" s="364" t="s">
        <v>73</v>
      </c>
      <c r="BD4" s="350" t="s">
        <v>75</v>
      </c>
    </row>
    <row r="5" spans="1:56" ht="135.75" customHeight="1">
      <c r="A5" s="298"/>
      <c r="B5" s="298"/>
      <c r="C5" s="340"/>
      <c r="D5" s="298"/>
      <c r="E5" s="298"/>
      <c r="F5" s="298"/>
      <c r="G5" s="309"/>
      <c r="H5" s="309"/>
      <c r="I5" s="336"/>
      <c r="J5" s="336"/>
      <c r="K5" s="326"/>
      <c r="L5" s="327"/>
      <c r="M5" s="336"/>
      <c r="N5" s="298" t="s">
        <v>24</v>
      </c>
      <c r="O5" s="298"/>
      <c r="P5" s="298" t="s">
        <v>25</v>
      </c>
      <c r="Q5" s="298"/>
      <c r="R5" s="7"/>
      <c r="S5" s="326"/>
      <c r="T5" s="327"/>
      <c r="U5" s="329"/>
      <c r="V5" s="331"/>
      <c r="W5" s="334"/>
      <c r="X5" s="305" t="s">
        <v>28</v>
      </c>
      <c r="Y5" s="306"/>
      <c r="Z5" s="305" t="s">
        <v>29</v>
      </c>
      <c r="AA5" s="306"/>
      <c r="AB5" s="322"/>
      <c r="AC5" s="323"/>
      <c r="AD5" s="340"/>
      <c r="AE5" s="343"/>
      <c r="AF5" s="340"/>
      <c r="AG5" s="313"/>
      <c r="AH5" s="353"/>
      <c r="AI5" s="315"/>
      <c r="AJ5" s="318"/>
      <c r="AK5" s="348" t="s">
        <v>64</v>
      </c>
      <c r="AL5" s="307" t="s">
        <v>54</v>
      </c>
      <c r="AM5" s="308"/>
      <c r="AN5" s="345" t="s">
        <v>63</v>
      </c>
      <c r="AO5" s="345" t="s">
        <v>51</v>
      </c>
      <c r="AP5" s="354" t="s">
        <v>69</v>
      </c>
      <c r="AQ5" s="355"/>
      <c r="AR5" s="301" t="s">
        <v>70</v>
      </c>
      <c r="AS5" s="301" t="s">
        <v>71</v>
      </c>
      <c r="AT5" s="361" t="s">
        <v>17</v>
      </c>
      <c r="AU5" s="362"/>
      <c r="AV5" s="363"/>
      <c r="AW5" s="295" t="s">
        <v>19</v>
      </c>
      <c r="AX5" s="296"/>
      <c r="AY5" s="356" t="s">
        <v>33</v>
      </c>
      <c r="AZ5" s="295" t="s">
        <v>20</v>
      </c>
      <c r="BA5" s="296"/>
      <c r="BB5" s="359" t="s">
        <v>33</v>
      </c>
      <c r="BC5" s="365"/>
      <c r="BD5" s="351"/>
    </row>
    <row r="6" spans="1:56" ht="114" customHeight="1">
      <c r="A6" s="298"/>
      <c r="B6" s="298"/>
      <c r="C6" s="341"/>
      <c r="D6" s="298"/>
      <c r="E6" s="298"/>
      <c r="F6" s="298"/>
      <c r="G6" s="302"/>
      <c r="H6" s="302"/>
      <c r="I6" s="336"/>
      <c r="J6" s="336"/>
      <c r="K6" s="5" t="s">
        <v>22</v>
      </c>
      <c r="L6" s="4" t="s">
        <v>23</v>
      </c>
      <c r="M6" s="336"/>
      <c r="N6" s="5" t="s">
        <v>22</v>
      </c>
      <c r="O6" s="4" t="s">
        <v>23</v>
      </c>
      <c r="P6" s="8" t="s">
        <v>22</v>
      </c>
      <c r="Q6" s="297" t="s">
        <v>23</v>
      </c>
      <c r="R6" s="298"/>
      <c r="S6" s="5" t="s">
        <v>22</v>
      </c>
      <c r="T6" s="4" t="s">
        <v>23</v>
      </c>
      <c r="U6" s="330"/>
      <c r="V6" s="332"/>
      <c r="W6" s="335"/>
      <c r="X6" s="9" t="s">
        <v>27</v>
      </c>
      <c r="Y6" s="9" t="s">
        <v>23</v>
      </c>
      <c r="Z6" s="72" t="s">
        <v>27</v>
      </c>
      <c r="AA6" s="9" t="s">
        <v>23</v>
      </c>
      <c r="AB6" s="9" t="s">
        <v>27</v>
      </c>
      <c r="AC6" s="9" t="s">
        <v>23</v>
      </c>
      <c r="AD6" s="341"/>
      <c r="AE6" s="344"/>
      <c r="AF6" s="341"/>
      <c r="AG6" s="313"/>
      <c r="AH6" s="353"/>
      <c r="AI6" s="316"/>
      <c r="AJ6" s="319"/>
      <c r="AK6" s="349"/>
      <c r="AL6" s="4" t="s">
        <v>15</v>
      </c>
      <c r="AM6" s="4" t="s">
        <v>16</v>
      </c>
      <c r="AN6" s="347"/>
      <c r="AO6" s="346"/>
      <c r="AP6" s="68" t="s">
        <v>15</v>
      </c>
      <c r="AQ6" s="4" t="s">
        <v>16</v>
      </c>
      <c r="AR6" s="302"/>
      <c r="AS6" s="302"/>
      <c r="AT6" s="68" t="s">
        <v>15</v>
      </c>
      <c r="AU6" s="31" t="s">
        <v>16</v>
      </c>
      <c r="AV6" s="71" t="s">
        <v>73</v>
      </c>
      <c r="AW6" s="10" t="s">
        <v>15</v>
      </c>
      <c r="AX6" s="11" t="s">
        <v>16</v>
      </c>
      <c r="AY6" s="357"/>
      <c r="AZ6" s="10" t="s">
        <v>15</v>
      </c>
      <c r="BA6" s="11" t="s">
        <v>16</v>
      </c>
      <c r="BB6" s="360"/>
      <c r="BC6" s="366"/>
      <c r="BD6" s="352"/>
    </row>
    <row r="7" spans="1:57" ht="78.75" customHeight="1">
      <c r="A7" s="12">
        <v>1</v>
      </c>
      <c r="B7" s="13" t="s">
        <v>60</v>
      </c>
      <c r="C7" s="14">
        <v>1</v>
      </c>
      <c r="D7" s="15" t="s">
        <v>14</v>
      </c>
      <c r="E7" s="62">
        <v>21</v>
      </c>
      <c r="F7" s="62">
        <v>168</v>
      </c>
      <c r="G7" s="16">
        <v>3127</v>
      </c>
      <c r="H7" s="60">
        <f>G7</f>
        <v>3127</v>
      </c>
      <c r="I7" s="17">
        <v>90</v>
      </c>
      <c r="J7" s="17">
        <f>H7+I7</f>
        <v>3217</v>
      </c>
      <c r="K7" s="18"/>
      <c r="L7" s="16"/>
      <c r="M7" s="16">
        <f>J7+L7</f>
        <v>3217</v>
      </c>
      <c r="N7" s="16"/>
      <c r="O7" s="16"/>
      <c r="P7" s="16"/>
      <c r="Q7" s="293"/>
      <c r="R7" s="294"/>
      <c r="S7" s="18">
        <v>1</v>
      </c>
      <c r="T7" s="16">
        <f>H7*S7</f>
        <v>3127</v>
      </c>
      <c r="U7" s="17"/>
      <c r="V7" s="17"/>
      <c r="W7" s="17"/>
      <c r="X7" s="72"/>
      <c r="Y7" s="17"/>
      <c r="Z7" s="74"/>
      <c r="AA7" s="21"/>
      <c r="AB7" s="22"/>
      <c r="AC7" s="21"/>
      <c r="AD7" s="21"/>
      <c r="AE7" s="21"/>
      <c r="AF7" s="21"/>
      <c r="AG7" s="24">
        <f>AC7+AA7+Y7+W7+T7+Q7+O7+M7+U7+AD7+AF7+V7+AE7</f>
        <v>6344</v>
      </c>
      <c r="AH7" s="66">
        <v>11</v>
      </c>
      <c r="AI7" s="25">
        <f>G7/E7*AH7</f>
        <v>1637.95</v>
      </c>
      <c r="AJ7" s="26">
        <f>AG7-AI7</f>
        <v>4706.05</v>
      </c>
      <c r="AK7" s="27"/>
      <c r="AL7" s="27">
        <f>AI7*18%</f>
        <v>294.83</v>
      </c>
      <c r="AM7" s="27">
        <f>AG7*18%-AL7</f>
        <v>847.09</v>
      </c>
      <c r="AN7" s="27"/>
      <c r="AO7" s="28">
        <f>SUM(AL7:AN7)</f>
        <v>1141.92</v>
      </c>
      <c r="AP7" s="27">
        <f>AI7*1.5%</f>
        <v>24.57</v>
      </c>
      <c r="AQ7" s="27">
        <f>AG7*1.5%-AP7</f>
        <v>70.59</v>
      </c>
      <c r="AR7" s="28">
        <f>AP7+AQ7</f>
        <v>95.16</v>
      </c>
      <c r="AS7" s="27">
        <f>AG7*1%</f>
        <v>63.44</v>
      </c>
      <c r="AT7" s="27">
        <f>AL7+AP7</f>
        <v>319.4</v>
      </c>
      <c r="AU7" s="27">
        <f>AM7+AN7+AQ7+AS7</f>
        <v>981.12</v>
      </c>
      <c r="AV7" s="28">
        <f>AO7+AR7+AS7</f>
        <v>1300.52</v>
      </c>
      <c r="AW7" s="25">
        <f>AI7-(AL7+AP7)</f>
        <v>1318.55</v>
      </c>
      <c r="AX7" s="25">
        <f>AG7-(AV7+AW7)</f>
        <v>3724.93</v>
      </c>
      <c r="AY7" s="70">
        <f>SUM(AW7:AX7)</f>
        <v>5043.48</v>
      </c>
      <c r="AZ7" s="29"/>
      <c r="BA7" s="25"/>
      <c r="BB7" s="70">
        <f>SUM(AZ7:BA7)</f>
        <v>0</v>
      </c>
      <c r="BC7" s="70">
        <f aca="true" t="shared" si="0" ref="BC7:BC23">AY7+BB7</f>
        <v>5043.48</v>
      </c>
      <c r="BD7" s="65">
        <f>AG7*22%</f>
        <v>1395.68</v>
      </c>
      <c r="BE7" s="30"/>
    </row>
    <row r="8" spans="1:57" ht="78.75" customHeight="1">
      <c r="A8" s="12">
        <v>2</v>
      </c>
      <c r="B8" s="13" t="s">
        <v>34</v>
      </c>
      <c r="C8" s="14">
        <v>1</v>
      </c>
      <c r="D8" s="15" t="s">
        <v>35</v>
      </c>
      <c r="E8" s="62">
        <v>21</v>
      </c>
      <c r="F8" s="62">
        <v>168</v>
      </c>
      <c r="G8" s="16">
        <v>2457</v>
      </c>
      <c r="H8" s="60">
        <f>G8</f>
        <v>2457</v>
      </c>
      <c r="I8" s="17">
        <f>90</f>
        <v>90</v>
      </c>
      <c r="J8" s="17">
        <f>H8+I8</f>
        <v>2547</v>
      </c>
      <c r="K8" s="18">
        <v>0.4</v>
      </c>
      <c r="L8" s="16">
        <f>J8*K8</f>
        <v>1018.8</v>
      </c>
      <c r="M8" s="16">
        <f>J8+L8</f>
        <v>3565.8</v>
      </c>
      <c r="N8" s="16"/>
      <c r="O8" s="16"/>
      <c r="P8" s="16"/>
      <c r="Q8" s="293"/>
      <c r="R8" s="294"/>
      <c r="S8" s="18">
        <v>1</v>
      </c>
      <c r="T8" s="16">
        <f>H8*S8</f>
        <v>2457</v>
      </c>
      <c r="U8" s="17"/>
      <c r="V8" s="17"/>
      <c r="W8" s="17"/>
      <c r="X8" s="72"/>
      <c r="Y8" s="17"/>
      <c r="Z8" s="74"/>
      <c r="AA8" s="21"/>
      <c r="AB8" s="22"/>
      <c r="AC8" s="21"/>
      <c r="AD8" s="21"/>
      <c r="AE8" s="21"/>
      <c r="AF8" s="16"/>
      <c r="AG8" s="24">
        <f aca="true" t="shared" si="1" ref="AG8:AG22">AC8+AA8+Y8+W8+T8+Q8+O8+M8+U8+AD8+AF8+V8+AE8</f>
        <v>6022.8</v>
      </c>
      <c r="AH8" s="66"/>
      <c r="AI8" s="25">
        <f aca="true" t="shared" si="2" ref="AI8:AI20">G8/E8*AH8</f>
        <v>0</v>
      </c>
      <c r="AJ8" s="26">
        <f>AG8-AI8</f>
        <v>6022.8</v>
      </c>
      <c r="AK8" s="27"/>
      <c r="AL8" s="27">
        <f aca="true" t="shared" si="3" ref="AL8:AL20">AI8*18%</f>
        <v>0</v>
      </c>
      <c r="AM8" s="27">
        <f aca="true" t="shared" si="4" ref="AM8:AM16">AG8*18%-AL8</f>
        <v>1084.1</v>
      </c>
      <c r="AN8" s="27"/>
      <c r="AO8" s="28">
        <f>AL8+AM8+AN8</f>
        <v>1084.1</v>
      </c>
      <c r="AP8" s="27">
        <f aca="true" t="shared" si="5" ref="AP8:AP20">AI8*1.5%</f>
        <v>0</v>
      </c>
      <c r="AQ8" s="27">
        <f aca="true" t="shared" si="6" ref="AQ8:AQ20">AG8*1.5%-AP8</f>
        <v>90.34</v>
      </c>
      <c r="AR8" s="28">
        <f aca="true" t="shared" si="7" ref="AR8:AR20">AP8+AQ8</f>
        <v>90.34</v>
      </c>
      <c r="AS8" s="27">
        <f aca="true" t="shared" si="8" ref="AS8:AS20">AG8*1%</f>
        <v>60.23</v>
      </c>
      <c r="AT8" s="27">
        <f aca="true" t="shared" si="9" ref="AT8:AT20">AL8+AP8</f>
        <v>0</v>
      </c>
      <c r="AU8" s="27">
        <f aca="true" t="shared" si="10" ref="AU8:AU20">AM8+AN8+AQ8+AS8</f>
        <v>1234.67</v>
      </c>
      <c r="AV8" s="28">
        <f>AO8+AR8+AS8</f>
        <v>1234.67</v>
      </c>
      <c r="AW8" s="25">
        <f>AI8-(AL8+AP8)</f>
        <v>0</v>
      </c>
      <c r="AX8" s="25">
        <f>AG8-(AV8+AW8)</f>
        <v>4788.13</v>
      </c>
      <c r="AY8" s="70">
        <f aca="true" t="shared" si="11" ref="AY8:AY20">SUM(AW8:AX8)</f>
        <v>4788.13</v>
      </c>
      <c r="AZ8" s="29"/>
      <c r="BA8" s="25"/>
      <c r="BB8" s="70">
        <f aca="true" t="shared" si="12" ref="BB8:BB22">SUM(AZ8:BA8)</f>
        <v>0</v>
      </c>
      <c r="BC8" s="70">
        <f t="shared" si="0"/>
        <v>4788.13</v>
      </c>
      <c r="BD8" s="65">
        <f aca="true" t="shared" si="13" ref="BD8:BD23">AG8*22%</f>
        <v>1325.02</v>
      </c>
      <c r="BE8" s="30"/>
    </row>
    <row r="9" spans="1:57" ht="63.75" customHeight="1">
      <c r="A9" s="12">
        <v>3</v>
      </c>
      <c r="B9" s="13" t="s">
        <v>36</v>
      </c>
      <c r="C9" s="14">
        <v>1</v>
      </c>
      <c r="D9" s="15" t="s">
        <v>5</v>
      </c>
      <c r="E9" s="62">
        <v>21</v>
      </c>
      <c r="F9" s="62">
        <v>168</v>
      </c>
      <c r="G9" s="16">
        <v>1696</v>
      </c>
      <c r="H9" s="60">
        <f>G9</f>
        <v>1696</v>
      </c>
      <c r="I9" s="17">
        <f>55</f>
        <v>55</v>
      </c>
      <c r="J9" s="17">
        <f>H9+I9</f>
        <v>1751</v>
      </c>
      <c r="K9" s="18">
        <v>0.15</v>
      </c>
      <c r="L9" s="16">
        <f>J9*K9</f>
        <v>262.65</v>
      </c>
      <c r="M9" s="16">
        <f>J9+L9</f>
        <v>2013.65</v>
      </c>
      <c r="N9" s="16"/>
      <c r="O9" s="16"/>
      <c r="P9" s="16"/>
      <c r="Q9" s="293"/>
      <c r="R9" s="294"/>
      <c r="S9" s="18">
        <v>1</v>
      </c>
      <c r="T9" s="16">
        <f>H9*S9</f>
        <v>1696</v>
      </c>
      <c r="U9" s="17"/>
      <c r="V9" s="17"/>
      <c r="W9" s="17"/>
      <c r="X9" s="72"/>
      <c r="Y9" s="17"/>
      <c r="Z9" s="74"/>
      <c r="AA9" s="21"/>
      <c r="AB9" s="22"/>
      <c r="AC9" s="21"/>
      <c r="AD9" s="21"/>
      <c r="AE9" s="21"/>
      <c r="AF9" s="16"/>
      <c r="AG9" s="24">
        <f t="shared" si="1"/>
        <v>3709.65</v>
      </c>
      <c r="AH9" s="66">
        <v>11</v>
      </c>
      <c r="AI9" s="25">
        <f t="shared" si="2"/>
        <v>888.38</v>
      </c>
      <c r="AJ9" s="26">
        <f>AG9-AI9</f>
        <v>2821.27</v>
      </c>
      <c r="AK9" s="27"/>
      <c r="AL9" s="27">
        <f t="shared" si="3"/>
        <v>159.91</v>
      </c>
      <c r="AM9" s="27">
        <f t="shared" si="4"/>
        <v>507.83</v>
      </c>
      <c r="AN9" s="27"/>
      <c r="AO9" s="28">
        <f>AL9+AM9+AN9</f>
        <v>667.74</v>
      </c>
      <c r="AP9" s="27">
        <f t="shared" si="5"/>
        <v>13.33</v>
      </c>
      <c r="AQ9" s="27">
        <f t="shared" si="6"/>
        <v>42.31</v>
      </c>
      <c r="AR9" s="28">
        <f t="shared" si="7"/>
        <v>55.64</v>
      </c>
      <c r="AS9" s="27">
        <f t="shared" si="8"/>
        <v>37.1</v>
      </c>
      <c r="AT9" s="27">
        <f t="shared" si="9"/>
        <v>173.24</v>
      </c>
      <c r="AU9" s="27">
        <f t="shared" si="10"/>
        <v>587.24</v>
      </c>
      <c r="AV9" s="28">
        <f>AO9+AR9+AS9</f>
        <v>760.48</v>
      </c>
      <c r="AW9" s="25">
        <f>AI9-(AL9+AP9)</f>
        <v>715.14</v>
      </c>
      <c r="AX9" s="25">
        <f>AG9-(AV9+AW9)</f>
        <v>2234.03</v>
      </c>
      <c r="AY9" s="70">
        <f t="shared" si="11"/>
        <v>2949.17</v>
      </c>
      <c r="AZ9" s="29"/>
      <c r="BA9" s="25"/>
      <c r="BB9" s="70">
        <f t="shared" si="12"/>
        <v>0</v>
      </c>
      <c r="BC9" s="70">
        <f t="shared" si="0"/>
        <v>2949.17</v>
      </c>
      <c r="BD9" s="65">
        <f t="shared" si="13"/>
        <v>816.12</v>
      </c>
      <c r="BE9" s="30"/>
    </row>
    <row r="10" spans="1:57" ht="93.75" customHeight="1">
      <c r="A10" s="12">
        <v>4</v>
      </c>
      <c r="B10" s="13" t="s">
        <v>37</v>
      </c>
      <c r="C10" s="14">
        <v>1</v>
      </c>
      <c r="D10" s="15" t="s">
        <v>38</v>
      </c>
      <c r="E10" s="62">
        <v>21</v>
      </c>
      <c r="F10" s="62">
        <v>168</v>
      </c>
      <c r="G10" s="16">
        <v>1378</v>
      </c>
      <c r="H10" s="60">
        <v>1378</v>
      </c>
      <c r="I10" s="17">
        <f>55</f>
        <v>55</v>
      </c>
      <c r="J10" s="17">
        <f>H10+I10</f>
        <v>1433</v>
      </c>
      <c r="K10" s="18">
        <v>0.2</v>
      </c>
      <c r="L10" s="16">
        <f>J10*K10</f>
        <v>286.6</v>
      </c>
      <c r="M10" s="16">
        <f>J10+L10</f>
        <v>1719.6</v>
      </c>
      <c r="N10" s="16"/>
      <c r="O10" s="16"/>
      <c r="P10" s="16"/>
      <c r="Q10" s="293"/>
      <c r="R10" s="294"/>
      <c r="S10" s="18">
        <v>1</v>
      </c>
      <c r="T10" s="16">
        <f>H10*S10</f>
        <v>1378</v>
      </c>
      <c r="U10" s="17"/>
      <c r="V10" s="17"/>
      <c r="W10" s="17"/>
      <c r="X10" s="72"/>
      <c r="Y10" s="17"/>
      <c r="Z10" s="74"/>
      <c r="AA10" s="21"/>
      <c r="AB10" s="22"/>
      <c r="AC10" s="21"/>
      <c r="AD10" s="21">
        <v>749.7</v>
      </c>
      <c r="AE10" s="21"/>
      <c r="AF10" s="21"/>
      <c r="AG10" s="24">
        <f t="shared" si="1"/>
        <v>3847.3</v>
      </c>
      <c r="AH10" s="66">
        <v>11</v>
      </c>
      <c r="AI10" s="25">
        <f t="shared" si="2"/>
        <v>721.81</v>
      </c>
      <c r="AJ10" s="26">
        <f>AG10-AI10</f>
        <v>3125.49</v>
      </c>
      <c r="AK10" s="27"/>
      <c r="AL10" s="27">
        <f t="shared" si="3"/>
        <v>129.93</v>
      </c>
      <c r="AM10" s="27">
        <f t="shared" si="4"/>
        <v>562.58</v>
      </c>
      <c r="AN10" s="27"/>
      <c r="AO10" s="28">
        <f>AL10+AM10+AN10</f>
        <v>692.51</v>
      </c>
      <c r="AP10" s="27">
        <f t="shared" si="5"/>
        <v>10.83</v>
      </c>
      <c r="AQ10" s="27">
        <f t="shared" si="6"/>
        <v>46.88</v>
      </c>
      <c r="AR10" s="28">
        <f t="shared" si="7"/>
        <v>57.71</v>
      </c>
      <c r="AS10" s="27">
        <f t="shared" si="8"/>
        <v>38.47</v>
      </c>
      <c r="AT10" s="27">
        <f t="shared" si="9"/>
        <v>140.76</v>
      </c>
      <c r="AU10" s="27">
        <f t="shared" si="10"/>
        <v>647.93</v>
      </c>
      <c r="AV10" s="28">
        <f>AO10+AR10+AS10</f>
        <v>788.69</v>
      </c>
      <c r="AW10" s="25">
        <f>AI10-(AL10+AP10)</f>
        <v>581.05</v>
      </c>
      <c r="AX10" s="25">
        <f>AG10-(AV10+AW10)</f>
        <v>2477.56</v>
      </c>
      <c r="AY10" s="70">
        <f t="shared" si="11"/>
        <v>3058.61</v>
      </c>
      <c r="AZ10" s="29"/>
      <c r="BA10" s="25"/>
      <c r="BB10" s="70">
        <f t="shared" si="12"/>
        <v>0</v>
      </c>
      <c r="BC10" s="70">
        <f t="shared" si="0"/>
        <v>3058.61</v>
      </c>
      <c r="BD10" s="65">
        <f t="shared" si="13"/>
        <v>846.41</v>
      </c>
      <c r="BE10" s="30"/>
    </row>
    <row r="11" spans="1:57" ht="78.75" customHeight="1">
      <c r="A11" s="50"/>
      <c r="B11" s="32" t="s">
        <v>39</v>
      </c>
      <c r="C11" s="51">
        <f>SUM(C7:C10)</f>
        <v>4</v>
      </c>
      <c r="D11" s="51"/>
      <c r="E11" s="62"/>
      <c r="F11" s="62">
        <f>SUM(F7:F10)</f>
        <v>672</v>
      </c>
      <c r="G11" s="52">
        <f>SUM(G7:G10)</f>
        <v>8658</v>
      </c>
      <c r="H11" s="61">
        <f>SUM(H7:H10)</f>
        <v>8658</v>
      </c>
      <c r="I11" s="33">
        <f>SUM(I7:I10)</f>
        <v>290</v>
      </c>
      <c r="J11" s="33">
        <f>SUM(J7:J10)</f>
        <v>8948</v>
      </c>
      <c r="K11" s="33"/>
      <c r="L11" s="33">
        <f aca="true" t="shared" si="14" ref="L11:R11">SUM(L7:L10)</f>
        <v>1568.05</v>
      </c>
      <c r="M11" s="33">
        <f t="shared" si="14"/>
        <v>10516.05</v>
      </c>
      <c r="N11" s="33">
        <f t="shared" si="14"/>
        <v>0</v>
      </c>
      <c r="O11" s="33">
        <f t="shared" si="14"/>
        <v>0</v>
      </c>
      <c r="P11" s="33">
        <f t="shared" si="14"/>
        <v>0</v>
      </c>
      <c r="Q11" s="33">
        <f t="shared" si="14"/>
        <v>0</v>
      </c>
      <c r="R11" s="33">
        <f t="shared" si="14"/>
        <v>0</v>
      </c>
      <c r="S11" s="33"/>
      <c r="T11" s="33">
        <f aca="true" t="shared" si="15" ref="T11:AF11">SUM(T7:T10)</f>
        <v>8658</v>
      </c>
      <c r="U11" s="33">
        <f t="shared" si="15"/>
        <v>0</v>
      </c>
      <c r="V11" s="33">
        <f t="shared" si="15"/>
        <v>0</v>
      </c>
      <c r="W11" s="33">
        <f t="shared" si="15"/>
        <v>0</v>
      </c>
      <c r="X11" s="34">
        <f t="shared" si="15"/>
        <v>0</v>
      </c>
      <c r="Y11" s="33">
        <f t="shared" si="15"/>
        <v>0</v>
      </c>
      <c r="Z11" s="34">
        <f t="shared" si="15"/>
        <v>0</v>
      </c>
      <c r="AA11" s="33">
        <f t="shared" si="15"/>
        <v>0</v>
      </c>
      <c r="AB11" s="33">
        <f t="shared" si="15"/>
        <v>0</v>
      </c>
      <c r="AC11" s="33">
        <f t="shared" si="15"/>
        <v>0</v>
      </c>
      <c r="AD11" s="33">
        <f t="shared" si="15"/>
        <v>749.7</v>
      </c>
      <c r="AE11" s="33">
        <f t="shared" si="15"/>
        <v>0</v>
      </c>
      <c r="AF11" s="33">
        <f t="shared" si="15"/>
        <v>0</v>
      </c>
      <c r="AG11" s="24">
        <f t="shared" si="1"/>
        <v>19923.75</v>
      </c>
      <c r="AH11" s="66"/>
      <c r="AI11" s="67">
        <f>SUM(AI7:AI10)</f>
        <v>3248.14</v>
      </c>
      <c r="AJ11" s="67">
        <f>SUM(AJ7:AJ10)</f>
        <v>16675.61</v>
      </c>
      <c r="AK11" s="33">
        <f aca="true" t="shared" si="16" ref="AK11:BA11">SUM(AK7:AK10)</f>
        <v>0</v>
      </c>
      <c r="AL11" s="33">
        <f t="shared" si="16"/>
        <v>584.67</v>
      </c>
      <c r="AM11" s="33">
        <f t="shared" si="16"/>
        <v>3001.6</v>
      </c>
      <c r="AN11" s="33">
        <f t="shared" si="16"/>
        <v>0</v>
      </c>
      <c r="AO11" s="33">
        <f t="shared" si="16"/>
        <v>3586.27</v>
      </c>
      <c r="AP11" s="33">
        <f t="shared" si="16"/>
        <v>48.73</v>
      </c>
      <c r="AQ11" s="33">
        <f t="shared" si="16"/>
        <v>250.12</v>
      </c>
      <c r="AR11" s="33">
        <f t="shared" si="16"/>
        <v>298.85</v>
      </c>
      <c r="AS11" s="33">
        <f t="shared" si="16"/>
        <v>199.24</v>
      </c>
      <c r="AT11" s="33">
        <f t="shared" si="16"/>
        <v>633.4</v>
      </c>
      <c r="AU11" s="33">
        <f t="shared" si="16"/>
        <v>3450.96</v>
      </c>
      <c r="AV11" s="33">
        <f t="shared" si="16"/>
        <v>4084.36</v>
      </c>
      <c r="AW11" s="33">
        <f t="shared" si="16"/>
        <v>2614.74</v>
      </c>
      <c r="AX11" s="33">
        <f t="shared" si="16"/>
        <v>13224.65</v>
      </c>
      <c r="AY11" s="61">
        <f t="shared" si="16"/>
        <v>15839.39</v>
      </c>
      <c r="AZ11" s="33">
        <f t="shared" si="16"/>
        <v>0</v>
      </c>
      <c r="BA11" s="33">
        <f t="shared" si="16"/>
        <v>0</v>
      </c>
      <c r="BB11" s="70">
        <f t="shared" si="12"/>
        <v>0</v>
      </c>
      <c r="BC11" s="70">
        <f t="shared" si="0"/>
        <v>15839.39</v>
      </c>
      <c r="BD11" s="65">
        <f t="shared" si="13"/>
        <v>4383.23</v>
      </c>
      <c r="BE11" s="30"/>
    </row>
    <row r="12" spans="1:57" s="49" customFormat="1" ht="96.75" customHeight="1">
      <c r="A12" s="47">
        <v>5</v>
      </c>
      <c r="B12" s="53" t="s">
        <v>61</v>
      </c>
      <c r="C12" s="54">
        <v>1</v>
      </c>
      <c r="D12" s="54" t="s">
        <v>56</v>
      </c>
      <c r="E12" s="62">
        <v>21</v>
      </c>
      <c r="F12" s="62">
        <v>168</v>
      </c>
      <c r="G12" s="55">
        <v>1378</v>
      </c>
      <c r="H12" s="60">
        <v>1378</v>
      </c>
      <c r="I12" s="55"/>
      <c r="J12" s="17">
        <f aca="true" t="shared" si="17" ref="J12:J17">H12+I12</f>
        <v>1378</v>
      </c>
      <c r="K12" s="55"/>
      <c r="L12" s="55"/>
      <c r="M12" s="16">
        <f aca="true" t="shared" si="18" ref="M12:M19">J12+L12</f>
        <v>1378</v>
      </c>
      <c r="N12" s="59">
        <v>0.5</v>
      </c>
      <c r="O12" s="16">
        <f>M12*N12</f>
        <v>689</v>
      </c>
      <c r="P12" s="55"/>
      <c r="Q12" s="56"/>
      <c r="R12" s="57"/>
      <c r="S12" s="18">
        <v>0.5</v>
      </c>
      <c r="T12" s="16">
        <f aca="true" t="shared" si="19" ref="T12:T19">H12*S12</f>
        <v>689</v>
      </c>
      <c r="U12" s="55"/>
      <c r="V12" s="55"/>
      <c r="W12" s="55"/>
      <c r="X12" s="73"/>
      <c r="Y12" s="55"/>
      <c r="Z12" s="73"/>
      <c r="AA12" s="55"/>
      <c r="AB12" s="55"/>
      <c r="AC12" s="55"/>
      <c r="AD12" s="55"/>
      <c r="AE12" s="55"/>
      <c r="AF12" s="55">
        <v>1000</v>
      </c>
      <c r="AG12" s="24">
        <f t="shared" si="1"/>
        <v>3756</v>
      </c>
      <c r="AH12" s="66">
        <v>11</v>
      </c>
      <c r="AI12" s="25">
        <f t="shared" si="2"/>
        <v>721.81</v>
      </c>
      <c r="AJ12" s="26">
        <f aca="true" t="shared" si="20" ref="AJ12:AJ20">AG12-AI12</f>
        <v>3034.19</v>
      </c>
      <c r="AK12" s="55"/>
      <c r="AL12" s="27">
        <f t="shared" si="3"/>
        <v>129.93</v>
      </c>
      <c r="AM12" s="27">
        <f t="shared" si="4"/>
        <v>546.15</v>
      </c>
      <c r="AN12" s="55"/>
      <c r="AO12" s="28">
        <f aca="true" t="shared" si="21" ref="AO12:AO20">AL12+AM12</f>
        <v>676.08</v>
      </c>
      <c r="AP12" s="27">
        <f t="shared" si="5"/>
        <v>10.83</v>
      </c>
      <c r="AQ12" s="27">
        <f t="shared" si="6"/>
        <v>45.51</v>
      </c>
      <c r="AR12" s="28">
        <f t="shared" si="7"/>
        <v>56.34</v>
      </c>
      <c r="AS12" s="27">
        <f t="shared" si="8"/>
        <v>37.56</v>
      </c>
      <c r="AT12" s="27">
        <f t="shared" si="9"/>
        <v>140.76</v>
      </c>
      <c r="AU12" s="27">
        <f t="shared" si="10"/>
        <v>629.22</v>
      </c>
      <c r="AV12" s="28">
        <f aca="true" t="shared" si="22" ref="AV12:AV20">AO12+AR12+AS12</f>
        <v>769.98</v>
      </c>
      <c r="AW12" s="25">
        <f>AI12-(AL12+AP12)</f>
        <v>581.05</v>
      </c>
      <c r="AX12" s="25">
        <f>AG12-(AV12+AW12)</f>
        <v>2404.97</v>
      </c>
      <c r="AY12" s="70">
        <f t="shared" si="11"/>
        <v>2986.02</v>
      </c>
      <c r="AZ12" s="58"/>
      <c r="BA12" s="55"/>
      <c r="BB12" s="70">
        <f t="shared" si="12"/>
        <v>0</v>
      </c>
      <c r="BC12" s="70">
        <f t="shared" si="0"/>
        <v>2986.02</v>
      </c>
      <c r="BD12" s="65">
        <f t="shared" si="13"/>
        <v>826.32</v>
      </c>
      <c r="BE12" s="48"/>
    </row>
    <row r="13" spans="1:57" ht="78.75" customHeight="1">
      <c r="A13" s="12">
        <v>6</v>
      </c>
      <c r="B13" s="31" t="s">
        <v>41</v>
      </c>
      <c r="C13" s="14">
        <v>1</v>
      </c>
      <c r="D13" s="35" t="s">
        <v>42</v>
      </c>
      <c r="E13" s="62">
        <v>21</v>
      </c>
      <c r="F13" s="62">
        <v>168</v>
      </c>
      <c r="G13" s="16">
        <v>1378</v>
      </c>
      <c r="H13" s="60">
        <v>1378</v>
      </c>
      <c r="I13" s="17"/>
      <c r="J13" s="17">
        <f t="shared" si="17"/>
        <v>1378</v>
      </c>
      <c r="K13" s="18">
        <v>0.4</v>
      </c>
      <c r="L13" s="16">
        <f>J13*K13</f>
        <v>551.2</v>
      </c>
      <c r="M13" s="16">
        <f t="shared" si="18"/>
        <v>1929.2</v>
      </c>
      <c r="N13" s="59">
        <v>0.5</v>
      </c>
      <c r="O13" s="16">
        <f>M13*N13</f>
        <v>964.6</v>
      </c>
      <c r="P13" s="38"/>
      <c r="Q13" s="19"/>
      <c r="R13" s="20"/>
      <c r="S13" s="18"/>
      <c r="T13" s="16">
        <f t="shared" si="19"/>
        <v>0</v>
      </c>
      <c r="U13" s="17"/>
      <c r="V13" s="17"/>
      <c r="W13" s="17"/>
      <c r="X13" s="72"/>
      <c r="Y13" s="17"/>
      <c r="Z13" s="74"/>
      <c r="AA13" s="21"/>
      <c r="AB13" s="39"/>
      <c r="AC13" s="27"/>
      <c r="AD13" s="25"/>
      <c r="AE13" s="27"/>
      <c r="AF13" s="36"/>
      <c r="AG13" s="24">
        <f t="shared" si="1"/>
        <v>2893.8</v>
      </c>
      <c r="AH13" s="66"/>
      <c r="AI13" s="25">
        <f t="shared" si="2"/>
        <v>0</v>
      </c>
      <c r="AJ13" s="26">
        <f t="shared" si="20"/>
        <v>2893.8</v>
      </c>
      <c r="AK13" s="27"/>
      <c r="AL13" s="27">
        <f t="shared" si="3"/>
        <v>0</v>
      </c>
      <c r="AM13" s="27">
        <f t="shared" si="4"/>
        <v>520.88</v>
      </c>
      <c r="AN13" s="27"/>
      <c r="AO13" s="28">
        <f t="shared" si="21"/>
        <v>520.88</v>
      </c>
      <c r="AP13" s="27">
        <f t="shared" si="5"/>
        <v>0</v>
      </c>
      <c r="AQ13" s="27">
        <f t="shared" si="6"/>
        <v>43.41</v>
      </c>
      <c r="AR13" s="28">
        <f t="shared" si="7"/>
        <v>43.41</v>
      </c>
      <c r="AS13" s="27">
        <f t="shared" si="8"/>
        <v>28.94</v>
      </c>
      <c r="AT13" s="27">
        <f t="shared" si="9"/>
        <v>0</v>
      </c>
      <c r="AU13" s="27">
        <f t="shared" si="10"/>
        <v>593.23</v>
      </c>
      <c r="AV13" s="28">
        <f t="shared" si="22"/>
        <v>593.23</v>
      </c>
      <c r="AW13" s="25"/>
      <c r="AX13" s="25"/>
      <c r="AY13" s="70">
        <f t="shared" si="11"/>
        <v>0</v>
      </c>
      <c r="AZ13" s="29"/>
      <c r="BA13" s="25">
        <f>AG13-AV13</f>
        <v>2300.57</v>
      </c>
      <c r="BB13" s="70">
        <f t="shared" si="12"/>
        <v>2300.57</v>
      </c>
      <c r="BC13" s="70">
        <f t="shared" si="0"/>
        <v>2300.57</v>
      </c>
      <c r="BD13" s="65">
        <f t="shared" si="13"/>
        <v>636.64</v>
      </c>
      <c r="BE13" s="30"/>
    </row>
    <row r="14" spans="1:57" s="49" customFormat="1" ht="78.75" customHeight="1">
      <c r="A14" s="47">
        <v>7</v>
      </c>
      <c r="B14" s="197" t="s">
        <v>48</v>
      </c>
      <c r="C14" s="198">
        <v>1</v>
      </c>
      <c r="D14" s="199" t="s">
        <v>49</v>
      </c>
      <c r="E14" s="203">
        <v>2</v>
      </c>
      <c r="F14" s="203">
        <v>16</v>
      </c>
      <c r="G14" s="55">
        <v>1378</v>
      </c>
      <c r="H14" s="55">
        <f>G14/21*2</f>
        <v>131.24</v>
      </c>
      <c r="I14" s="55"/>
      <c r="J14" s="55">
        <f t="shared" si="17"/>
        <v>131.24</v>
      </c>
      <c r="K14" s="59"/>
      <c r="L14" s="55"/>
      <c r="M14" s="55">
        <f t="shared" si="18"/>
        <v>131.24</v>
      </c>
      <c r="N14" s="59">
        <v>0.5</v>
      </c>
      <c r="O14" s="55">
        <f>M14*N14</f>
        <v>65.62</v>
      </c>
      <c r="P14" s="59"/>
      <c r="Q14" s="171"/>
      <c r="R14" s="172"/>
      <c r="S14" s="59">
        <v>0.5</v>
      </c>
      <c r="T14" s="55">
        <f t="shared" si="19"/>
        <v>65.62</v>
      </c>
      <c r="U14" s="55"/>
      <c r="V14" s="55"/>
      <c r="W14" s="55"/>
      <c r="X14" s="73"/>
      <c r="Y14" s="55"/>
      <c r="Z14" s="73"/>
      <c r="AA14" s="192"/>
      <c r="AB14" s="202"/>
      <c r="AC14" s="177"/>
      <c r="AD14" s="177"/>
      <c r="AE14" s="177"/>
      <c r="AF14" s="55"/>
      <c r="AG14" s="186">
        <f t="shared" si="1"/>
        <v>262.48</v>
      </c>
      <c r="AH14" s="204">
        <v>11</v>
      </c>
      <c r="AI14" s="177">
        <f>AG14</f>
        <v>262.48</v>
      </c>
      <c r="AJ14" s="177">
        <f t="shared" si="20"/>
        <v>0</v>
      </c>
      <c r="AK14" s="177"/>
      <c r="AL14" s="177">
        <f t="shared" si="3"/>
        <v>47.25</v>
      </c>
      <c r="AM14" s="177">
        <f t="shared" si="4"/>
        <v>0</v>
      </c>
      <c r="AN14" s="177"/>
      <c r="AO14" s="186">
        <f t="shared" si="21"/>
        <v>47.25</v>
      </c>
      <c r="AP14" s="177">
        <f t="shared" si="5"/>
        <v>3.94</v>
      </c>
      <c r="AQ14" s="177">
        <f t="shared" si="6"/>
        <v>0</v>
      </c>
      <c r="AR14" s="186">
        <f t="shared" si="7"/>
        <v>3.94</v>
      </c>
      <c r="AS14" s="177">
        <f t="shared" si="8"/>
        <v>2.62</v>
      </c>
      <c r="AT14" s="177">
        <f t="shared" si="9"/>
        <v>51.19</v>
      </c>
      <c r="AU14" s="177">
        <f t="shared" si="10"/>
        <v>2.62</v>
      </c>
      <c r="AV14" s="186">
        <f t="shared" si="22"/>
        <v>53.81</v>
      </c>
      <c r="AW14" s="177">
        <v>208.67</v>
      </c>
      <c r="AX14" s="177">
        <f>AG14-(AV14+AW14)</f>
        <v>0</v>
      </c>
      <c r="AY14" s="186">
        <f t="shared" si="11"/>
        <v>208.67</v>
      </c>
      <c r="AZ14" s="177"/>
      <c r="BA14" s="177"/>
      <c r="BB14" s="186">
        <f t="shared" si="12"/>
        <v>0</v>
      </c>
      <c r="BC14" s="186">
        <f t="shared" si="0"/>
        <v>208.67</v>
      </c>
      <c r="BD14" s="186">
        <f t="shared" si="13"/>
        <v>57.75</v>
      </c>
      <c r="BE14" s="48"/>
    </row>
    <row r="15" spans="1:57" s="49" customFormat="1" ht="78.75" customHeight="1">
      <c r="A15" s="47">
        <v>8</v>
      </c>
      <c r="B15" s="53" t="s">
        <v>43</v>
      </c>
      <c r="C15" s="54">
        <v>1</v>
      </c>
      <c r="D15" s="54" t="s">
        <v>44</v>
      </c>
      <c r="E15" s="203">
        <v>21</v>
      </c>
      <c r="F15" s="203">
        <v>0</v>
      </c>
      <c r="G15" s="55">
        <v>1378</v>
      </c>
      <c r="H15" s="55">
        <v>0</v>
      </c>
      <c r="I15" s="55"/>
      <c r="J15" s="55">
        <f t="shared" si="17"/>
        <v>0</v>
      </c>
      <c r="K15" s="59">
        <v>0.2</v>
      </c>
      <c r="L15" s="55">
        <f>J15*K15</f>
        <v>0</v>
      </c>
      <c r="M15" s="55">
        <f t="shared" si="18"/>
        <v>0</v>
      </c>
      <c r="N15" s="59">
        <v>0.5</v>
      </c>
      <c r="O15" s="55">
        <f>M15*N15</f>
        <v>0</v>
      </c>
      <c r="P15" s="55"/>
      <c r="Q15" s="171"/>
      <c r="R15" s="172"/>
      <c r="S15" s="59"/>
      <c r="T15" s="55">
        <f t="shared" si="19"/>
        <v>0</v>
      </c>
      <c r="U15" s="55"/>
      <c r="V15" s="55"/>
      <c r="W15" s="55"/>
      <c r="X15" s="73">
        <v>5</v>
      </c>
      <c r="Y15" s="55">
        <v>499.8</v>
      </c>
      <c r="Z15" s="73"/>
      <c r="AA15" s="177"/>
      <c r="AB15" s="202">
        <v>24</v>
      </c>
      <c r="AC15" s="177">
        <v>1986.96</v>
      </c>
      <c r="AD15" s="177">
        <v>820</v>
      </c>
      <c r="AE15" s="177">
        <v>1378</v>
      </c>
      <c r="AF15" s="55"/>
      <c r="AG15" s="186">
        <f t="shared" si="1"/>
        <v>4684.76</v>
      </c>
      <c r="AH15" s="204"/>
      <c r="AI15" s="177">
        <f t="shared" si="2"/>
        <v>0</v>
      </c>
      <c r="AJ15" s="177">
        <f t="shared" si="20"/>
        <v>4684.76</v>
      </c>
      <c r="AK15" s="177"/>
      <c r="AL15" s="177">
        <f t="shared" si="3"/>
        <v>0</v>
      </c>
      <c r="AM15" s="177">
        <f t="shared" si="4"/>
        <v>843.26</v>
      </c>
      <c r="AN15" s="177"/>
      <c r="AO15" s="186">
        <f t="shared" si="21"/>
        <v>843.26</v>
      </c>
      <c r="AP15" s="177">
        <f t="shared" si="5"/>
        <v>0</v>
      </c>
      <c r="AQ15" s="177">
        <f t="shared" si="6"/>
        <v>70.27</v>
      </c>
      <c r="AR15" s="186">
        <f t="shared" si="7"/>
        <v>70.27</v>
      </c>
      <c r="AS15" s="177">
        <v>38.64</v>
      </c>
      <c r="AT15" s="177">
        <f t="shared" si="9"/>
        <v>0</v>
      </c>
      <c r="AU15" s="177">
        <f t="shared" si="10"/>
        <v>952.17</v>
      </c>
      <c r="AV15" s="186">
        <f t="shared" si="22"/>
        <v>952.17</v>
      </c>
      <c r="AW15" s="177">
        <f>AI15-(AL15+AP15)</f>
        <v>0</v>
      </c>
      <c r="AX15" s="177">
        <f>AG15-(AV15+AW15)</f>
        <v>3732.59</v>
      </c>
      <c r="AY15" s="186">
        <f t="shared" si="11"/>
        <v>3732.59</v>
      </c>
      <c r="AZ15" s="177"/>
      <c r="BA15" s="177"/>
      <c r="BB15" s="186">
        <f t="shared" si="12"/>
        <v>0</v>
      </c>
      <c r="BC15" s="186">
        <f t="shared" si="0"/>
        <v>3732.59</v>
      </c>
      <c r="BD15" s="186">
        <f t="shared" si="13"/>
        <v>1030.65</v>
      </c>
      <c r="BE15" s="48"/>
    </row>
    <row r="16" spans="1:57" s="49" customFormat="1" ht="78.75" customHeight="1">
      <c r="A16" s="47">
        <v>9</v>
      </c>
      <c r="B16" s="53" t="s">
        <v>45</v>
      </c>
      <c r="C16" s="54">
        <v>1</v>
      </c>
      <c r="D16" s="54" t="s">
        <v>44</v>
      </c>
      <c r="E16" s="203">
        <v>21</v>
      </c>
      <c r="F16" s="203">
        <v>168</v>
      </c>
      <c r="G16" s="55">
        <v>1378</v>
      </c>
      <c r="H16" s="55">
        <v>1378</v>
      </c>
      <c r="I16" s="55"/>
      <c r="J16" s="55">
        <f t="shared" si="17"/>
        <v>1378</v>
      </c>
      <c r="K16" s="59">
        <v>0.1</v>
      </c>
      <c r="L16" s="55">
        <f>J16*K16</f>
        <v>137.8</v>
      </c>
      <c r="M16" s="55">
        <f t="shared" si="18"/>
        <v>1515.8</v>
      </c>
      <c r="N16" s="59">
        <v>0.5</v>
      </c>
      <c r="O16" s="55">
        <f>M16*N16</f>
        <v>757.9</v>
      </c>
      <c r="P16" s="55"/>
      <c r="Q16" s="171"/>
      <c r="R16" s="172"/>
      <c r="S16" s="59"/>
      <c r="T16" s="55">
        <f t="shared" si="19"/>
        <v>0</v>
      </c>
      <c r="U16" s="55"/>
      <c r="V16" s="55"/>
      <c r="W16" s="55"/>
      <c r="X16" s="73"/>
      <c r="Y16" s="55"/>
      <c r="Z16" s="73"/>
      <c r="AA16" s="192"/>
      <c r="AB16" s="202"/>
      <c r="AC16" s="177"/>
      <c r="AD16" s="177"/>
      <c r="AE16" s="177"/>
      <c r="AF16" s="55"/>
      <c r="AG16" s="186">
        <f t="shared" si="1"/>
        <v>2273.7</v>
      </c>
      <c r="AH16" s="204"/>
      <c r="AI16" s="177">
        <f t="shared" si="2"/>
        <v>0</v>
      </c>
      <c r="AJ16" s="177">
        <f t="shared" si="20"/>
        <v>2273.7</v>
      </c>
      <c r="AK16" s="177"/>
      <c r="AL16" s="177">
        <f t="shared" si="3"/>
        <v>0</v>
      </c>
      <c r="AM16" s="177">
        <f t="shared" si="4"/>
        <v>409.27</v>
      </c>
      <c r="AN16" s="177"/>
      <c r="AO16" s="186">
        <f t="shared" si="21"/>
        <v>409.27</v>
      </c>
      <c r="AP16" s="177">
        <f t="shared" si="5"/>
        <v>0</v>
      </c>
      <c r="AQ16" s="177">
        <f t="shared" si="6"/>
        <v>34.11</v>
      </c>
      <c r="AR16" s="186">
        <f t="shared" si="7"/>
        <v>34.11</v>
      </c>
      <c r="AS16" s="177">
        <f t="shared" si="8"/>
        <v>22.74</v>
      </c>
      <c r="AT16" s="177">
        <f t="shared" si="9"/>
        <v>0</v>
      </c>
      <c r="AU16" s="177">
        <f t="shared" si="10"/>
        <v>466.12</v>
      </c>
      <c r="AV16" s="186">
        <f t="shared" si="22"/>
        <v>466.12</v>
      </c>
      <c r="AW16" s="177"/>
      <c r="AX16" s="177"/>
      <c r="AY16" s="186">
        <f t="shared" si="11"/>
        <v>0</v>
      </c>
      <c r="AZ16" s="177"/>
      <c r="BA16" s="177">
        <f>AG16-AV16</f>
        <v>1807.58</v>
      </c>
      <c r="BB16" s="186">
        <f t="shared" si="12"/>
        <v>1807.58</v>
      </c>
      <c r="BC16" s="186">
        <f t="shared" si="0"/>
        <v>1807.58</v>
      </c>
      <c r="BD16" s="186">
        <f t="shared" si="13"/>
        <v>500.21</v>
      </c>
      <c r="BE16" s="48"/>
    </row>
    <row r="17" spans="1:57" s="49" customFormat="1" ht="78.75" customHeight="1">
      <c r="A17" s="47">
        <v>10</v>
      </c>
      <c r="B17" s="53" t="s">
        <v>46</v>
      </c>
      <c r="C17" s="54">
        <v>0.5</v>
      </c>
      <c r="D17" s="54" t="s">
        <v>62</v>
      </c>
      <c r="E17" s="203">
        <v>21</v>
      </c>
      <c r="F17" s="203">
        <v>168</v>
      </c>
      <c r="G17" s="55">
        <v>689</v>
      </c>
      <c r="H17" s="55">
        <v>689</v>
      </c>
      <c r="I17" s="55"/>
      <c r="J17" s="55">
        <f t="shared" si="17"/>
        <v>689</v>
      </c>
      <c r="K17" s="59"/>
      <c r="L17" s="55"/>
      <c r="M17" s="55">
        <f t="shared" si="18"/>
        <v>689</v>
      </c>
      <c r="N17" s="59"/>
      <c r="O17" s="55"/>
      <c r="P17" s="59">
        <v>0.1</v>
      </c>
      <c r="Q17" s="171">
        <f>J17*P17</f>
        <v>68.9</v>
      </c>
      <c r="R17" s="172"/>
      <c r="S17" s="59"/>
      <c r="T17" s="55">
        <f t="shared" si="19"/>
        <v>0</v>
      </c>
      <c r="U17" s="55"/>
      <c r="V17" s="55"/>
      <c r="W17" s="55">
        <v>689</v>
      </c>
      <c r="X17" s="73"/>
      <c r="Y17" s="55"/>
      <c r="Z17" s="73"/>
      <c r="AA17" s="192"/>
      <c r="AB17" s="202"/>
      <c r="AC17" s="177"/>
      <c r="AD17" s="177"/>
      <c r="AE17" s="177"/>
      <c r="AF17" s="177"/>
      <c r="AG17" s="186">
        <f t="shared" si="1"/>
        <v>1446.9</v>
      </c>
      <c r="AH17" s="204"/>
      <c r="AI17" s="177">
        <f t="shared" si="2"/>
        <v>0</v>
      </c>
      <c r="AJ17" s="177">
        <f t="shared" si="20"/>
        <v>1446.9</v>
      </c>
      <c r="AK17" s="177">
        <v>689</v>
      </c>
      <c r="AL17" s="177">
        <f t="shared" si="3"/>
        <v>0</v>
      </c>
      <c r="AM17" s="177">
        <f>(AG17-689)*18%-AL17</f>
        <v>136.42</v>
      </c>
      <c r="AN17" s="177"/>
      <c r="AO17" s="186">
        <f t="shared" si="21"/>
        <v>136.42</v>
      </c>
      <c r="AP17" s="177">
        <f t="shared" si="5"/>
        <v>0</v>
      </c>
      <c r="AQ17" s="177">
        <f t="shared" si="6"/>
        <v>21.7</v>
      </c>
      <c r="AR17" s="186">
        <f t="shared" si="7"/>
        <v>21.7</v>
      </c>
      <c r="AS17" s="177">
        <f t="shared" si="8"/>
        <v>14.47</v>
      </c>
      <c r="AT17" s="177">
        <f t="shared" si="9"/>
        <v>0</v>
      </c>
      <c r="AU17" s="177">
        <f t="shared" si="10"/>
        <v>172.59</v>
      </c>
      <c r="AV17" s="186">
        <f t="shared" si="22"/>
        <v>172.59</v>
      </c>
      <c r="AW17" s="177">
        <f>AI17-(AL17+AP17)</f>
        <v>0</v>
      </c>
      <c r="AX17" s="177">
        <f>AG17-(AV17+AW17)</f>
        <v>1274.31</v>
      </c>
      <c r="AY17" s="186">
        <f t="shared" si="11"/>
        <v>1274.31</v>
      </c>
      <c r="AZ17" s="177"/>
      <c r="BA17" s="177"/>
      <c r="BB17" s="186">
        <f t="shared" si="12"/>
        <v>0</v>
      </c>
      <c r="BC17" s="186">
        <f t="shared" si="0"/>
        <v>1274.31</v>
      </c>
      <c r="BD17" s="186">
        <f t="shared" si="13"/>
        <v>318.32</v>
      </c>
      <c r="BE17" s="48"/>
    </row>
    <row r="18" spans="1:57" s="49" customFormat="1" ht="99.75" customHeight="1">
      <c r="A18" s="47">
        <v>11</v>
      </c>
      <c r="B18" s="183" t="s">
        <v>57</v>
      </c>
      <c r="C18" s="183">
        <v>1</v>
      </c>
      <c r="D18" s="183" t="s">
        <v>52</v>
      </c>
      <c r="E18" s="203">
        <v>21</v>
      </c>
      <c r="F18" s="203">
        <v>168</v>
      </c>
      <c r="G18" s="55">
        <v>1378</v>
      </c>
      <c r="H18" s="55">
        <v>1378</v>
      </c>
      <c r="I18" s="55"/>
      <c r="J18" s="55">
        <f>H18</f>
        <v>1378</v>
      </c>
      <c r="K18" s="59"/>
      <c r="L18" s="55"/>
      <c r="M18" s="55">
        <f t="shared" si="18"/>
        <v>1378</v>
      </c>
      <c r="N18" s="55"/>
      <c r="O18" s="55"/>
      <c r="P18" s="59">
        <v>0.1</v>
      </c>
      <c r="Q18" s="171">
        <f>J18*P18</f>
        <v>137.8</v>
      </c>
      <c r="R18" s="172"/>
      <c r="S18" s="59"/>
      <c r="T18" s="55">
        <f t="shared" si="19"/>
        <v>0</v>
      </c>
      <c r="U18" s="55"/>
      <c r="V18" s="55"/>
      <c r="W18" s="55"/>
      <c r="X18" s="73"/>
      <c r="Y18" s="55"/>
      <c r="Z18" s="73"/>
      <c r="AA18" s="192"/>
      <c r="AB18" s="202"/>
      <c r="AC18" s="177"/>
      <c r="AD18" s="177"/>
      <c r="AE18" s="177"/>
      <c r="AF18" s="177"/>
      <c r="AG18" s="186">
        <f t="shared" si="1"/>
        <v>1515.8</v>
      </c>
      <c r="AH18" s="204">
        <v>11</v>
      </c>
      <c r="AI18" s="177">
        <f t="shared" si="2"/>
        <v>721.81</v>
      </c>
      <c r="AJ18" s="177">
        <f t="shared" si="20"/>
        <v>793.99</v>
      </c>
      <c r="AK18" s="177">
        <v>689</v>
      </c>
      <c r="AL18" s="177">
        <f t="shared" si="3"/>
        <v>129.93</v>
      </c>
      <c r="AM18" s="177">
        <f>(AG18-689)*18%-AL18</f>
        <v>18.89</v>
      </c>
      <c r="AN18" s="177"/>
      <c r="AO18" s="186">
        <f t="shared" si="21"/>
        <v>148.82</v>
      </c>
      <c r="AP18" s="177">
        <f t="shared" si="5"/>
        <v>10.83</v>
      </c>
      <c r="AQ18" s="177">
        <f t="shared" si="6"/>
        <v>11.91</v>
      </c>
      <c r="AR18" s="186">
        <f t="shared" si="7"/>
        <v>22.74</v>
      </c>
      <c r="AS18" s="177">
        <f t="shared" si="8"/>
        <v>15.16</v>
      </c>
      <c r="AT18" s="177">
        <f t="shared" si="9"/>
        <v>140.76</v>
      </c>
      <c r="AU18" s="177">
        <f t="shared" si="10"/>
        <v>45.96</v>
      </c>
      <c r="AV18" s="186">
        <f t="shared" si="22"/>
        <v>186.72</v>
      </c>
      <c r="AW18" s="177">
        <f>AI18-(AL18+AP18)</f>
        <v>581.05</v>
      </c>
      <c r="AX18" s="177">
        <f>AG18-(AV18+AW18)</f>
        <v>748.03</v>
      </c>
      <c r="AY18" s="186">
        <f t="shared" si="11"/>
        <v>1329.08</v>
      </c>
      <c r="AZ18" s="177"/>
      <c r="BA18" s="177"/>
      <c r="BB18" s="186">
        <f t="shared" si="12"/>
        <v>0</v>
      </c>
      <c r="BC18" s="186">
        <f t="shared" si="0"/>
        <v>1329.08</v>
      </c>
      <c r="BD18" s="186">
        <f t="shared" si="13"/>
        <v>333.48</v>
      </c>
      <c r="BE18" s="48"/>
    </row>
    <row r="19" spans="1:57" s="49" customFormat="1" ht="90" customHeight="1">
      <c r="A19" s="47">
        <v>12</v>
      </c>
      <c r="B19" s="183" t="s">
        <v>59</v>
      </c>
      <c r="C19" s="183">
        <v>1</v>
      </c>
      <c r="D19" s="183" t="s">
        <v>52</v>
      </c>
      <c r="E19" s="203">
        <v>21</v>
      </c>
      <c r="F19" s="203">
        <v>168</v>
      </c>
      <c r="G19" s="55">
        <v>1378</v>
      </c>
      <c r="H19" s="55">
        <v>1378</v>
      </c>
      <c r="I19" s="55"/>
      <c r="J19" s="55">
        <f>H19</f>
        <v>1378</v>
      </c>
      <c r="K19" s="59"/>
      <c r="L19" s="55"/>
      <c r="M19" s="55">
        <f t="shared" si="18"/>
        <v>1378</v>
      </c>
      <c r="N19" s="55"/>
      <c r="O19" s="55"/>
      <c r="P19" s="59">
        <v>0.1</v>
      </c>
      <c r="Q19" s="171">
        <f>J19*P19</f>
        <v>137.8</v>
      </c>
      <c r="R19" s="172"/>
      <c r="S19" s="59"/>
      <c r="T19" s="55">
        <f t="shared" si="19"/>
        <v>0</v>
      </c>
      <c r="U19" s="55"/>
      <c r="V19" s="55"/>
      <c r="W19" s="55"/>
      <c r="X19" s="73"/>
      <c r="Y19" s="55"/>
      <c r="Z19" s="73"/>
      <c r="AA19" s="192"/>
      <c r="AB19" s="202"/>
      <c r="AC19" s="177"/>
      <c r="AD19" s="177"/>
      <c r="AE19" s="177"/>
      <c r="AF19" s="177"/>
      <c r="AG19" s="186">
        <f t="shared" si="1"/>
        <v>1515.8</v>
      </c>
      <c r="AH19" s="204">
        <v>11</v>
      </c>
      <c r="AI19" s="177">
        <f t="shared" si="2"/>
        <v>721.81</v>
      </c>
      <c r="AJ19" s="177">
        <f t="shared" si="20"/>
        <v>793.99</v>
      </c>
      <c r="AK19" s="177">
        <v>1033.5</v>
      </c>
      <c r="AL19" s="177">
        <f t="shared" si="3"/>
        <v>129.93</v>
      </c>
      <c r="AM19" s="219">
        <f>(AG19-1033.5)*18%-AL19</f>
        <v>-43.12</v>
      </c>
      <c r="AN19" s="177"/>
      <c r="AO19" s="186">
        <f t="shared" si="21"/>
        <v>86.81</v>
      </c>
      <c r="AP19" s="177">
        <f t="shared" si="5"/>
        <v>10.83</v>
      </c>
      <c r="AQ19" s="177">
        <f t="shared" si="6"/>
        <v>11.91</v>
      </c>
      <c r="AR19" s="186">
        <f t="shared" si="7"/>
        <v>22.74</v>
      </c>
      <c r="AS19" s="177">
        <f t="shared" si="8"/>
        <v>15.16</v>
      </c>
      <c r="AT19" s="177">
        <f t="shared" si="9"/>
        <v>140.76</v>
      </c>
      <c r="AU19" s="177">
        <f t="shared" si="10"/>
        <v>-16.05</v>
      </c>
      <c r="AV19" s="186">
        <f t="shared" si="22"/>
        <v>124.71</v>
      </c>
      <c r="AW19" s="177">
        <f>AI19-(AL19+AP19)</f>
        <v>581.05</v>
      </c>
      <c r="AX19" s="177">
        <f>AG19-(AV19+AW19)</f>
        <v>810.04</v>
      </c>
      <c r="AY19" s="186">
        <f t="shared" si="11"/>
        <v>1391.09</v>
      </c>
      <c r="AZ19" s="177"/>
      <c r="BA19" s="177"/>
      <c r="BB19" s="186">
        <f t="shared" si="12"/>
        <v>0</v>
      </c>
      <c r="BC19" s="186">
        <f t="shared" si="0"/>
        <v>1391.09</v>
      </c>
      <c r="BD19" s="186">
        <f t="shared" si="13"/>
        <v>333.48</v>
      </c>
      <c r="BE19" s="48"/>
    </row>
    <row r="20" spans="1:57" s="49" customFormat="1" ht="90" customHeight="1">
      <c r="A20" s="47">
        <v>13</v>
      </c>
      <c r="B20" s="183" t="s">
        <v>74</v>
      </c>
      <c r="C20" s="183">
        <v>1</v>
      </c>
      <c r="D20" s="199" t="s">
        <v>49</v>
      </c>
      <c r="E20" s="203">
        <v>19</v>
      </c>
      <c r="F20" s="203">
        <v>152</v>
      </c>
      <c r="G20" s="55">
        <v>1378</v>
      </c>
      <c r="H20" s="55">
        <f>G20/21*19</f>
        <v>1246.76</v>
      </c>
      <c r="I20" s="55"/>
      <c r="J20" s="55">
        <f>H20+I20</f>
        <v>1246.76</v>
      </c>
      <c r="K20" s="59"/>
      <c r="L20" s="55"/>
      <c r="M20" s="55">
        <f>J20+L20</f>
        <v>1246.76</v>
      </c>
      <c r="N20" s="59">
        <v>0.5</v>
      </c>
      <c r="O20" s="55">
        <f>M20*N20</f>
        <v>623.38</v>
      </c>
      <c r="P20" s="59"/>
      <c r="Q20" s="171"/>
      <c r="R20" s="172"/>
      <c r="S20" s="59">
        <v>0.5</v>
      </c>
      <c r="T20" s="55">
        <f>H20*S20</f>
        <v>623.38</v>
      </c>
      <c r="U20" s="55"/>
      <c r="V20" s="55"/>
      <c r="W20" s="55"/>
      <c r="X20" s="73"/>
      <c r="Y20" s="55"/>
      <c r="Z20" s="73"/>
      <c r="AA20" s="192"/>
      <c r="AB20" s="202"/>
      <c r="AC20" s="177"/>
      <c r="AD20" s="177"/>
      <c r="AE20" s="177"/>
      <c r="AF20" s="177"/>
      <c r="AG20" s="186">
        <f t="shared" si="1"/>
        <v>2493.52</v>
      </c>
      <c r="AH20" s="204">
        <v>9</v>
      </c>
      <c r="AI20" s="177">
        <f t="shared" si="2"/>
        <v>652.74</v>
      </c>
      <c r="AJ20" s="177">
        <f t="shared" si="20"/>
        <v>1840.78</v>
      </c>
      <c r="AK20" s="177"/>
      <c r="AL20" s="177">
        <f t="shared" si="3"/>
        <v>117.49</v>
      </c>
      <c r="AM20" s="177">
        <f>AG20*18%-AL20</f>
        <v>331.34</v>
      </c>
      <c r="AN20" s="177"/>
      <c r="AO20" s="186">
        <f t="shared" si="21"/>
        <v>448.83</v>
      </c>
      <c r="AP20" s="177">
        <f t="shared" si="5"/>
        <v>9.79</v>
      </c>
      <c r="AQ20" s="177">
        <f t="shared" si="6"/>
        <v>27.61</v>
      </c>
      <c r="AR20" s="186">
        <f t="shared" si="7"/>
        <v>37.4</v>
      </c>
      <c r="AS20" s="177">
        <f t="shared" si="8"/>
        <v>24.94</v>
      </c>
      <c r="AT20" s="177">
        <f t="shared" si="9"/>
        <v>127.28</v>
      </c>
      <c r="AU20" s="177">
        <f t="shared" si="10"/>
        <v>383.89</v>
      </c>
      <c r="AV20" s="186">
        <f t="shared" si="22"/>
        <v>511.17</v>
      </c>
      <c r="AW20" s="177">
        <f>AI20-(AL20+AP20)</f>
        <v>525.46</v>
      </c>
      <c r="AX20" s="177">
        <f>AG20-(AV20+AW20)</f>
        <v>1456.89</v>
      </c>
      <c r="AY20" s="186">
        <f t="shared" si="11"/>
        <v>1982.35</v>
      </c>
      <c r="AZ20" s="177"/>
      <c r="BA20" s="177"/>
      <c r="BB20" s="186">
        <f t="shared" si="12"/>
        <v>0</v>
      </c>
      <c r="BC20" s="186">
        <f t="shared" si="0"/>
        <v>1982.35</v>
      </c>
      <c r="BD20" s="186">
        <f>AG20*22%</f>
        <v>548.57</v>
      </c>
      <c r="BE20" s="48"/>
    </row>
    <row r="21" spans="1:57" ht="78.75" customHeight="1">
      <c r="A21" s="12"/>
      <c r="B21" s="40" t="s">
        <v>12</v>
      </c>
      <c r="C21" s="40">
        <f>SUM(C13:C19)</f>
        <v>6.5</v>
      </c>
      <c r="D21" s="40"/>
      <c r="E21" s="62"/>
      <c r="F21" s="64">
        <f>SUM(F12:F20)</f>
        <v>1176</v>
      </c>
      <c r="G21" s="33">
        <f>SUM(G13:G20)</f>
        <v>10335</v>
      </c>
      <c r="H21" s="61">
        <f>SUM(H12:H20)</f>
        <v>8957</v>
      </c>
      <c r="I21" s="33">
        <f>SUM(I12:I20)</f>
        <v>0</v>
      </c>
      <c r="J21" s="33">
        <f>SUM(J12:J20)</f>
        <v>8957</v>
      </c>
      <c r="K21" s="33"/>
      <c r="L21" s="33">
        <f>SUM(L12:L20)</f>
        <v>689</v>
      </c>
      <c r="M21" s="33">
        <f>SUM(M12:M20)</f>
        <v>9646</v>
      </c>
      <c r="N21" s="33"/>
      <c r="O21" s="33">
        <f>SUM(O12:O20)</f>
        <v>3100.5</v>
      </c>
      <c r="P21" s="33"/>
      <c r="Q21" s="33">
        <f>SUM(Q12:Q20)</f>
        <v>344.5</v>
      </c>
      <c r="R21" s="33">
        <f>SUM(R12:R20)</f>
        <v>0</v>
      </c>
      <c r="S21" s="33"/>
      <c r="T21" s="33">
        <f aca="true" t="shared" si="23" ref="T21:AF21">SUM(T12:T20)</f>
        <v>1378</v>
      </c>
      <c r="U21" s="33">
        <f t="shared" si="23"/>
        <v>0</v>
      </c>
      <c r="V21" s="33">
        <f t="shared" si="23"/>
        <v>0</v>
      </c>
      <c r="W21" s="33">
        <f t="shared" si="23"/>
        <v>689</v>
      </c>
      <c r="X21" s="34">
        <f t="shared" si="23"/>
        <v>5</v>
      </c>
      <c r="Y21" s="33">
        <f t="shared" si="23"/>
        <v>499.8</v>
      </c>
      <c r="Z21" s="34">
        <f t="shared" si="23"/>
        <v>0</v>
      </c>
      <c r="AA21" s="33">
        <f t="shared" si="23"/>
        <v>0</v>
      </c>
      <c r="AB21" s="33">
        <f t="shared" si="23"/>
        <v>24</v>
      </c>
      <c r="AC21" s="33">
        <f t="shared" si="23"/>
        <v>1986.96</v>
      </c>
      <c r="AD21" s="33">
        <f t="shared" si="23"/>
        <v>820</v>
      </c>
      <c r="AE21" s="33">
        <f t="shared" si="23"/>
        <v>1378</v>
      </c>
      <c r="AF21" s="33">
        <f t="shared" si="23"/>
        <v>1000</v>
      </c>
      <c r="AG21" s="24">
        <f t="shared" si="1"/>
        <v>20842.76</v>
      </c>
      <c r="AH21" s="66"/>
      <c r="AI21" s="24">
        <f aca="true" t="shared" si="24" ref="AI21:BA21">SUM(AI12:AI20)</f>
        <v>3080.65</v>
      </c>
      <c r="AJ21" s="24">
        <f t="shared" si="24"/>
        <v>17762.11</v>
      </c>
      <c r="AK21" s="24">
        <f t="shared" si="24"/>
        <v>2411.5</v>
      </c>
      <c r="AL21" s="24">
        <f t="shared" si="24"/>
        <v>554.53</v>
      </c>
      <c r="AM21" s="24">
        <f t="shared" si="24"/>
        <v>2763.09</v>
      </c>
      <c r="AN21" s="24">
        <f t="shared" si="24"/>
        <v>0</v>
      </c>
      <c r="AO21" s="24">
        <f t="shared" si="24"/>
        <v>3317.62</v>
      </c>
      <c r="AP21" s="24">
        <f t="shared" si="24"/>
        <v>46.22</v>
      </c>
      <c r="AQ21" s="24">
        <f t="shared" si="24"/>
        <v>266.43</v>
      </c>
      <c r="AR21" s="24">
        <f t="shared" si="24"/>
        <v>312.65</v>
      </c>
      <c r="AS21" s="24">
        <f t="shared" si="24"/>
        <v>200.23</v>
      </c>
      <c r="AT21" s="24">
        <f t="shared" si="24"/>
        <v>600.75</v>
      </c>
      <c r="AU21" s="24">
        <f t="shared" si="24"/>
        <v>3229.75</v>
      </c>
      <c r="AV21" s="24">
        <f t="shared" si="24"/>
        <v>3830.5</v>
      </c>
      <c r="AW21" s="24">
        <f t="shared" si="24"/>
        <v>2477.28</v>
      </c>
      <c r="AX21" s="24">
        <f t="shared" si="24"/>
        <v>10426.83</v>
      </c>
      <c r="AY21" s="70">
        <f t="shared" si="24"/>
        <v>12904.11</v>
      </c>
      <c r="AZ21" s="24">
        <f t="shared" si="24"/>
        <v>0</v>
      </c>
      <c r="BA21" s="24">
        <f t="shared" si="24"/>
        <v>4108.15</v>
      </c>
      <c r="BB21" s="70">
        <f t="shared" si="12"/>
        <v>4108.15</v>
      </c>
      <c r="BC21" s="70">
        <f t="shared" si="0"/>
        <v>17012.26</v>
      </c>
      <c r="BD21" s="65">
        <f t="shared" si="13"/>
        <v>4585.41</v>
      </c>
      <c r="BE21" s="30"/>
    </row>
    <row r="22" spans="1:57" ht="78.75" customHeight="1">
      <c r="A22" s="12"/>
      <c r="B22" s="40" t="s">
        <v>3</v>
      </c>
      <c r="C22" s="40">
        <f>C21+C11</f>
        <v>10.5</v>
      </c>
      <c r="D22" s="40"/>
      <c r="E22" s="64"/>
      <c r="F22" s="64">
        <f>F21+F11</f>
        <v>1848</v>
      </c>
      <c r="G22" s="33">
        <f>G21+G11</f>
        <v>18993</v>
      </c>
      <c r="H22" s="61">
        <f>H11+H21</f>
        <v>17615</v>
      </c>
      <c r="I22" s="33">
        <f>I21+I11</f>
        <v>290</v>
      </c>
      <c r="J22" s="33">
        <f>J21+J11</f>
        <v>17905</v>
      </c>
      <c r="K22" s="41"/>
      <c r="L22" s="33">
        <f>L21+L11</f>
        <v>2257.05</v>
      </c>
      <c r="M22" s="33">
        <f>M21+M11</f>
        <v>20162.05</v>
      </c>
      <c r="N22" s="33"/>
      <c r="O22" s="33">
        <f>O21+O11</f>
        <v>3100.5</v>
      </c>
      <c r="P22" s="33"/>
      <c r="Q22" s="33">
        <f>Q21+Q11</f>
        <v>344.5</v>
      </c>
      <c r="R22" s="33">
        <f>R21+R11</f>
        <v>0</v>
      </c>
      <c r="S22" s="33"/>
      <c r="T22" s="33">
        <f aca="true" t="shared" si="25" ref="T22:AF22">T21+T11</f>
        <v>10036</v>
      </c>
      <c r="U22" s="33">
        <f t="shared" si="25"/>
        <v>0</v>
      </c>
      <c r="V22" s="33">
        <f t="shared" si="25"/>
        <v>0</v>
      </c>
      <c r="W22" s="33">
        <f t="shared" si="25"/>
        <v>689</v>
      </c>
      <c r="X22" s="34">
        <f t="shared" si="25"/>
        <v>5</v>
      </c>
      <c r="Y22" s="33">
        <f t="shared" si="25"/>
        <v>499.8</v>
      </c>
      <c r="Z22" s="34">
        <f t="shared" si="25"/>
        <v>0</v>
      </c>
      <c r="AA22" s="33">
        <f t="shared" si="25"/>
        <v>0</v>
      </c>
      <c r="AB22" s="33">
        <f t="shared" si="25"/>
        <v>24</v>
      </c>
      <c r="AC22" s="33">
        <f t="shared" si="25"/>
        <v>1986.96</v>
      </c>
      <c r="AD22" s="33">
        <f t="shared" si="25"/>
        <v>1569.7</v>
      </c>
      <c r="AE22" s="33">
        <f t="shared" si="25"/>
        <v>1378</v>
      </c>
      <c r="AF22" s="33">
        <f t="shared" si="25"/>
        <v>1000</v>
      </c>
      <c r="AG22" s="24">
        <f t="shared" si="1"/>
        <v>40766.51</v>
      </c>
      <c r="AH22" s="65"/>
      <c r="AI22" s="33">
        <f>AI21+AI11</f>
        <v>6328.79</v>
      </c>
      <c r="AJ22" s="33">
        <f>AG22-AI22</f>
        <v>34437.72</v>
      </c>
      <c r="AK22" s="33">
        <f aca="true" t="shared" si="26" ref="AK22:BA22">AK21+AK11</f>
        <v>2411.5</v>
      </c>
      <c r="AL22" s="33">
        <f t="shared" si="26"/>
        <v>1139.2</v>
      </c>
      <c r="AM22" s="33">
        <f t="shared" si="26"/>
        <v>5764.69</v>
      </c>
      <c r="AN22" s="33">
        <f t="shared" si="26"/>
        <v>0</v>
      </c>
      <c r="AO22" s="33">
        <f t="shared" si="26"/>
        <v>6903.89</v>
      </c>
      <c r="AP22" s="33">
        <f t="shared" si="26"/>
        <v>94.95</v>
      </c>
      <c r="AQ22" s="33">
        <f t="shared" si="26"/>
        <v>516.55</v>
      </c>
      <c r="AR22" s="33">
        <f t="shared" si="26"/>
        <v>611.5</v>
      </c>
      <c r="AS22" s="33">
        <f t="shared" si="26"/>
        <v>399.47</v>
      </c>
      <c r="AT22" s="33">
        <f t="shared" si="26"/>
        <v>1234.15</v>
      </c>
      <c r="AU22" s="33">
        <f t="shared" si="26"/>
        <v>6680.71</v>
      </c>
      <c r="AV22" s="33">
        <f t="shared" si="26"/>
        <v>7914.86</v>
      </c>
      <c r="AW22" s="33">
        <f t="shared" si="26"/>
        <v>5092.02</v>
      </c>
      <c r="AX22" s="33">
        <f t="shared" si="26"/>
        <v>23651.48</v>
      </c>
      <c r="AY22" s="61">
        <f t="shared" si="26"/>
        <v>28743.5</v>
      </c>
      <c r="AZ22" s="33">
        <f t="shared" si="26"/>
        <v>0</v>
      </c>
      <c r="BA22" s="33">
        <f t="shared" si="26"/>
        <v>4108.15</v>
      </c>
      <c r="BB22" s="70">
        <f t="shared" si="12"/>
        <v>4108.15</v>
      </c>
      <c r="BC22" s="70">
        <f t="shared" si="0"/>
        <v>32851.65</v>
      </c>
      <c r="BD22" s="65">
        <f t="shared" si="13"/>
        <v>8968.63</v>
      </c>
      <c r="BE22" s="30"/>
    </row>
    <row r="23" spans="1:57" ht="72.75" customHeight="1">
      <c r="A23" s="43"/>
      <c r="B23" s="31" t="s">
        <v>43</v>
      </c>
      <c r="C23" s="14">
        <v>1</v>
      </c>
      <c r="D23" s="14" t="s">
        <v>44</v>
      </c>
      <c r="E23" s="62"/>
      <c r="F23" s="62"/>
      <c r="G23" s="16"/>
      <c r="H23" s="60"/>
      <c r="I23" s="17"/>
      <c r="J23" s="17"/>
      <c r="K23" s="18"/>
      <c r="L23" s="16"/>
      <c r="M23" s="16"/>
      <c r="N23" s="59"/>
      <c r="O23" s="16"/>
      <c r="P23" s="16"/>
      <c r="Q23" s="19"/>
      <c r="R23" s="20"/>
      <c r="S23" s="18"/>
      <c r="T23" s="16"/>
      <c r="U23" s="17"/>
      <c r="V23" s="17"/>
      <c r="W23" s="17"/>
      <c r="X23" s="72"/>
      <c r="Y23" s="17"/>
      <c r="Z23" s="74">
        <v>3</v>
      </c>
      <c r="AA23" s="27">
        <v>299.88</v>
      </c>
      <c r="AB23" s="39"/>
      <c r="AC23" s="27"/>
      <c r="AD23" s="27"/>
      <c r="AE23" s="27"/>
      <c r="AF23" s="36"/>
      <c r="AG23" s="24">
        <f>AC23+AA23+Y23+W23+T23+Q23+O23+M23+U23+AD23+AF23+V23+AE23</f>
        <v>299.88</v>
      </c>
      <c r="AH23" s="66"/>
      <c r="AI23" s="25"/>
      <c r="AJ23" s="26">
        <f>AG23-AI23</f>
        <v>299.88</v>
      </c>
      <c r="AK23" s="27"/>
      <c r="AL23" s="27">
        <f>AI23*18%</f>
        <v>0</v>
      </c>
      <c r="AM23" s="27">
        <f>AG23*18%-AL23</f>
        <v>53.98</v>
      </c>
      <c r="AN23" s="27"/>
      <c r="AO23" s="28">
        <f>AL23+AM23</f>
        <v>53.98</v>
      </c>
      <c r="AP23" s="27">
        <f>AI23*1.5%</f>
        <v>0</v>
      </c>
      <c r="AQ23" s="27">
        <f>AG23*1.5%-AP23</f>
        <v>4.5</v>
      </c>
      <c r="AR23" s="28">
        <f>AP23+AQ23</f>
        <v>4.5</v>
      </c>
      <c r="AS23" s="27">
        <f>AG23*1%</f>
        <v>3</v>
      </c>
      <c r="AT23" s="27">
        <f>AL23+AP23</f>
        <v>0</v>
      </c>
      <c r="AU23" s="27">
        <f>AM23+AN23+AQ23+AS23</f>
        <v>61.48</v>
      </c>
      <c r="AV23" s="28">
        <f>AO23+AR23+AS23</f>
        <v>61.48</v>
      </c>
      <c r="AW23" s="25">
        <f>AI23-(AL23+AP23)</f>
        <v>0</v>
      </c>
      <c r="AX23" s="25">
        <f>AG23-(AV23+AW23)</f>
        <v>238.4</v>
      </c>
      <c r="AY23" s="70">
        <f>SUM(AW23:AX23)</f>
        <v>238.4</v>
      </c>
      <c r="AZ23" s="29"/>
      <c r="BA23" s="25"/>
      <c r="BB23" s="70">
        <f>SUM(AZ23:BA23)</f>
        <v>0</v>
      </c>
      <c r="BC23" s="70">
        <f t="shared" si="0"/>
        <v>238.4</v>
      </c>
      <c r="BD23" s="65">
        <f t="shared" si="13"/>
        <v>65.97</v>
      </c>
      <c r="BE23" s="30"/>
    </row>
    <row r="24" spans="1:57" ht="54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6"/>
      <c r="V24" s="46"/>
      <c r="W24" s="46"/>
      <c r="X24" s="46"/>
      <c r="Y24" s="46"/>
      <c r="Z24" s="43"/>
      <c r="AA24" s="43"/>
      <c r="AB24" s="43"/>
      <c r="AC24" s="43"/>
      <c r="AD24" s="43"/>
      <c r="AE24" s="43"/>
      <c r="AF24" s="43"/>
      <c r="AG24" s="44"/>
      <c r="AH24" s="44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21"/>
      <c r="AY24" s="21"/>
      <c r="AZ24" s="43"/>
      <c r="BA24" s="45"/>
      <c r="BB24" s="21"/>
      <c r="BC24" s="21"/>
      <c r="BD24" s="65">
        <f>BD23+BD22</f>
        <v>9034.6</v>
      </c>
      <c r="BE24" s="30"/>
    </row>
    <row r="25" spans="21:57" ht="54" customHeight="1">
      <c r="U25" s="42"/>
      <c r="V25" s="42"/>
      <c r="W25" s="42"/>
      <c r="X25" s="42"/>
      <c r="Y25" s="42"/>
      <c r="BE25" s="30"/>
    </row>
    <row r="26" spans="21:57" ht="54" customHeight="1">
      <c r="U26" s="42"/>
      <c r="V26" s="42"/>
      <c r="W26" s="42"/>
      <c r="X26" s="42"/>
      <c r="Y26" s="42"/>
      <c r="BE26" s="30"/>
    </row>
    <row r="27" spans="21:57" ht="54" customHeight="1">
      <c r="U27" s="42"/>
      <c r="V27" s="42"/>
      <c r="W27" s="42"/>
      <c r="X27" s="42"/>
      <c r="Y27" s="42"/>
      <c r="BE27" s="30"/>
    </row>
    <row r="28" spans="21:57" ht="54" customHeight="1">
      <c r="U28" s="42"/>
      <c r="V28" s="42"/>
      <c r="W28" s="42"/>
      <c r="X28" s="42"/>
      <c r="Y28" s="42"/>
      <c r="BE28" s="30"/>
    </row>
    <row r="29" spans="21:57" ht="54" customHeight="1">
      <c r="U29" s="42"/>
      <c r="V29" s="42"/>
      <c r="W29" s="42"/>
      <c r="X29" s="42"/>
      <c r="Y29" s="42"/>
      <c r="BE29" s="30"/>
    </row>
    <row r="30" spans="21:57" ht="54" customHeight="1">
      <c r="U30" s="42"/>
      <c r="V30" s="42"/>
      <c r="W30" s="42"/>
      <c r="X30" s="42"/>
      <c r="Y30" s="42"/>
      <c r="BE30" s="30"/>
    </row>
    <row r="31" spans="21:57" ht="54" customHeight="1">
      <c r="U31" s="42"/>
      <c r="V31" s="42"/>
      <c r="W31" s="42"/>
      <c r="X31" s="42"/>
      <c r="Y31" s="42"/>
      <c r="BE31" s="30"/>
    </row>
    <row r="32" spans="21:57" ht="54" customHeight="1">
      <c r="U32" s="42"/>
      <c r="V32" s="42"/>
      <c r="W32" s="42"/>
      <c r="X32" s="42"/>
      <c r="Y32" s="42"/>
      <c r="BE32" s="30"/>
    </row>
    <row r="33" spans="21:57" ht="54" customHeight="1">
      <c r="U33" s="42"/>
      <c r="V33" s="42"/>
      <c r="W33" s="42"/>
      <c r="X33" s="42"/>
      <c r="Y33" s="42"/>
      <c r="BE33" s="30"/>
    </row>
    <row r="34" spans="21:57" ht="54" customHeight="1">
      <c r="U34" s="42"/>
      <c r="V34" s="42"/>
      <c r="W34" s="42"/>
      <c r="X34" s="42"/>
      <c r="Y34" s="42"/>
      <c r="BE34" s="30"/>
    </row>
    <row r="35" spans="21:57" ht="54" customHeight="1">
      <c r="U35" s="42"/>
      <c r="V35" s="42"/>
      <c r="W35" s="42"/>
      <c r="X35" s="42"/>
      <c r="Y35" s="42"/>
      <c r="BE35" s="30"/>
    </row>
    <row r="36" spans="21:57" ht="54" customHeight="1">
      <c r="U36" s="42"/>
      <c r="V36" s="42"/>
      <c r="W36" s="42"/>
      <c r="X36" s="42"/>
      <c r="Y36" s="42"/>
      <c r="BE36" s="30"/>
    </row>
    <row r="37" spans="21:57" ht="54" customHeight="1">
      <c r="U37" s="42"/>
      <c r="V37" s="42"/>
      <c r="W37" s="42"/>
      <c r="X37" s="42"/>
      <c r="Y37" s="42"/>
      <c r="BE37" s="30"/>
    </row>
    <row r="38" spans="21:25" ht="54" customHeight="1">
      <c r="U38" s="42"/>
      <c r="V38" s="42"/>
      <c r="W38" s="42"/>
      <c r="X38" s="42"/>
      <c r="Y38" s="42"/>
    </row>
    <row r="39" spans="21:25" ht="54" customHeight="1">
      <c r="U39" s="42"/>
      <c r="V39" s="42"/>
      <c r="W39" s="42"/>
      <c r="X39" s="42"/>
      <c r="Y39" s="42"/>
    </row>
    <row r="40" spans="21:25" ht="54" customHeight="1">
      <c r="U40" s="42"/>
      <c r="V40" s="42"/>
      <c r="W40" s="42"/>
      <c r="X40" s="42"/>
      <c r="Y40" s="42"/>
    </row>
  </sheetData>
  <sheetProtection/>
  <mergeCells count="55">
    <mergeCell ref="BD4:BD6"/>
    <mergeCell ref="AF4:AF6"/>
    <mergeCell ref="AH4:AH6"/>
    <mergeCell ref="AP5:AQ5"/>
    <mergeCell ref="AY5:AY6"/>
    <mergeCell ref="AW4:BB4"/>
    <mergeCell ref="BB5:BB6"/>
    <mergeCell ref="AT5:AV5"/>
    <mergeCell ref="BC4:BC6"/>
    <mergeCell ref="AI4:AI6"/>
    <mergeCell ref="AG1:BB1"/>
    <mergeCell ref="AG2:BB3"/>
    <mergeCell ref="AK4:AV4"/>
    <mergeCell ref="AK5:AK6"/>
    <mergeCell ref="AL5:AM5"/>
    <mergeCell ref="AW5:AX5"/>
    <mergeCell ref="AZ5:BA5"/>
    <mergeCell ref="AR5:AR6"/>
    <mergeCell ref="AS5:AS6"/>
    <mergeCell ref="AG4:AG6"/>
    <mergeCell ref="Q8:R8"/>
    <mergeCell ref="Q9:R9"/>
    <mergeCell ref="Q10:R10"/>
    <mergeCell ref="AO5:AO6"/>
    <mergeCell ref="AN5:AN6"/>
    <mergeCell ref="S4:T5"/>
    <mergeCell ref="U4:U6"/>
    <mergeCell ref="V4:V6"/>
    <mergeCell ref="AJ4:AJ6"/>
    <mergeCell ref="AB4:AC5"/>
    <mergeCell ref="AE4:AE6"/>
    <mergeCell ref="AD4:AD6"/>
    <mergeCell ref="W4:W6"/>
    <mergeCell ref="Q7:R7"/>
    <mergeCell ref="P5:Q5"/>
    <mergeCell ref="N4:Q4"/>
    <mergeCell ref="X5:Y5"/>
    <mergeCell ref="Z5:AA5"/>
    <mergeCell ref="N5:O5"/>
    <mergeCell ref="G4:G6"/>
    <mergeCell ref="H4:H6"/>
    <mergeCell ref="I4:I6"/>
    <mergeCell ref="J4:J6"/>
    <mergeCell ref="K4:L5"/>
    <mergeCell ref="M4:M6"/>
    <mergeCell ref="A1:AA1"/>
    <mergeCell ref="A2:AA3"/>
    <mergeCell ref="A4:A6"/>
    <mergeCell ref="B4:B6"/>
    <mergeCell ref="C4:C6"/>
    <mergeCell ref="D4:D6"/>
    <mergeCell ref="E4:E6"/>
    <mergeCell ref="F4:F6"/>
    <mergeCell ref="X4:AA4"/>
    <mergeCell ref="Q6:R6"/>
  </mergeCells>
  <printOptions/>
  <pageMargins left="0" right="0" top="0.1968503937007874" bottom="0" header="0.31496062992125984" footer="0.31496062992125984"/>
  <pageSetup fitToWidth="2" fitToHeight="1" horizontalDpi="600" verticalDpi="600" orientation="landscape" paperSize="9" scale="18" r:id="rId2"/>
  <colBreaks count="1" manualBreakCount="1">
    <brk id="26" max="2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9"/>
  <sheetViews>
    <sheetView view="pageBreakPreview" zoomScale="30" zoomScaleNormal="60" zoomScaleSheetLayoutView="30" zoomScalePageLayoutView="0" workbookViewId="0" topLeftCell="J4">
      <selection activeCell="L16" sqref="A16:IV16"/>
    </sheetView>
  </sheetViews>
  <sheetFormatPr defaultColWidth="15.7109375" defaultRowHeight="54" customHeight="1"/>
  <cols>
    <col min="1" max="1" width="10.28125" style="88" customWidth="1"/>
    <col min="2" max="2" width="49.140625" style="88" customWidth="1"/>
    <col min="3" max="3" width="15.28125" style="88" customWidth="1"/>
    <col min="4" max="4" width="46.8515625" style="88" customWidth="1"/>
    <col min="5" max="5" width="21.00390625" style="88" customWidth="1"/>
    <col min="6" max="6" width="19.7109375" style="88" customWidth="1"/>
    <col min="7" max="7" width="37.8515625" style="88" customWidth="1"/>
    <col min="8" max="8" width="35.00390625" style="88" customWidth="1"/>
    <col min="9" max="9" width="24.00390625" style="88" customWidth="1"/>
    <col min="10" max="10" width="27.140625" style="88" customWidth="1"/>
    <col min="11" max="11" width="19.00390625" style="88" customWidth="1"/>
    <col min="12" max="12" width="22.8515625" style="88" customWidth="1"/>
    <col min="13" max="13" width="25.421875" style="88" customWidth="1"/>
    <col min="14" max="14" width="15.7109375" style="88" customWidth="1"/>
    <col min="15" max="15" width="26.8515625" style="88" customWidth="1"/>
    <col min="16" max="16" width="18.28125" style="88" customWidth="1"/>
    <col min="17" max="17" width="22.28125" style="88" customWidth="1"/>
    <col min="18" max="18" width="18.00390625" style="88" customWidth="1"/>
    <col min="19" max="19" width="28.140625" style="88" customWidth="1"/>
    <col min="20" max="20" width="20.421875" style="88" customWidth="1"/>
    <col min="21" max="21" width="25.8515625" style="88" customWidth="1"/>
    <col min="22" max="22" width="23.57421875" style="88" customWidth="1"/>
    <col min="23" max="23" width="15.7109375" style="88" customWidth="1"/>
    <col min="24" max="24" width="22.421875" style="88" customWidth="1"/>
    <col min="25" max="25" width="15.7109375" style="88" customWidth="1"/>
    <col min="26" max="26" width="23.140625" style="88" customWidth="1"/>
    <col min="27" max="27" width="15.7109375" style="88" customWidth="1"/>
    <col min="28" max="28" width="24.00390625" style="88" customWidth="1"/>
    <col min="29" max="29" width="25.00390625" style="88" customWidth="1"/>
    <col min="30" max="30" width="24.28125" style="88" customWidth="1"/>
    <col min="31" max="31" width="23.7109375" style="88" customWidth="1"/>
    <col min="32" max="32" width="39.57421875" style="97" customWidth="1"/>
    <col min="33" max="33" width="31.7109375" style="97" customWidth="1"/>
    <col min="34" max="36" width="31.7109375" style="88" customWidth="1"/>
    <col min="37" max="37" width="41.7109375" style="88" customWidth="1"/>
    <col min="38" max="47" width="31.7109375" style="88" customWidth="1"/>
    <col min="48" max="48" width="34.7109375" style="88" customWidth="1"/>
    <col min="49" max="49" width="37.00390625" style="88" customWidth="1"/>
    <col min="50" max="50" width="33.28125" style="88" customWidth="1"/>
    <col min="51" max="51" width="35.57421875" style="88" customWidth="1"/>
    <col min="52" max="52" width="28.421875" style="88" customWidth="1"/>
    <col min="53" max="53" width="28.421875" style="97" customWidth="1"/>
    <col min="54" max="54" width="31.28125" style="88" customWidth="1"/>
    <col min="55" max="56" width="38.00390625" style="88" customWidth="1"/>
    <col min="57" max="16384" width="15.7109375" style="88" customWidth="1"/>
  </cols>
  <sheetData>
    <row r="1" spans="1:58" ht="54" customHeight="1">
      <c r="A1" s="337" t="s">
        <v>79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1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1"/>
      <c r="BD1" s="1"/>
      <c r="BE1" s="1"/>
      <c r="BF1" s="1"/>
    </row>
    <row r="2" spans="1:58" ht="52.5" customHeight="1">
      <c r="A2" s="337" t="s">
        <v>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1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1"/>
      <c r="BD2" s="1"/>
      <c r="BE2" s="1"/>
      <c r="BF2" s="1"/>
    </row>
    <row r="3" spans="1:58" ht="17.25" customHeight="1" hidden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1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69"/>
      <c r="BD3" s="69"/>
      <c r="BE3" s="1"/>
      <c r="BF3" s="1"/>
    </row>
    <row r="4" spans="1:56" ht="54" customHeight="1">
      <c r="A4" s="298" t="s">
        <v>0</v>
      </c>
      <c r="B4" s="298" t="s">
        <v>40</v>
      </c>
      <c r="C4" s="339" t="s">
        <v>53</v>
      </c>
      <c r="D4" s="298" t="s">
        <v>21</v>
      </c>
      <c r="E4" s="298" t="s">
        <v>1</v>
      </c>
      <c r="F4" s="298" t="s">
        <v>2</v>
      </c>
      <c r="G4" s="301" t="s">
        <v>65</v>
      </c>
      <c r="H4" s="301" t="s">
        <v>66</v>
      </c>
      <c r="I4" s="336" t="s">
        <v>7</v>
      </c>
      <c r="J4" s="336" t="s">
        <v>6</v>
      </c>
      <c r="K4" s="320" t="s">
        <v>8</v>
      </c>
      <c r="L4" s="321"/>
      <c r="M4" s="336" t="s">
        <v>6</v>
      </c>
      <c r="N4" s="320" t="s">
        <v>9</v>
      </c>
      <c r="O4" s="325"/>
      <c r="P4" s="325"/>
      <c r="Q4" s="325"/>
      <c r="R4" s="320" t="s">
        <v>10</v>
      </c>
      <c r="S4" s="321"/>
      <c r="T4" s="328" t="s">
        <v>81</v>
      </c>
      <c r="U4" s="328" t="s">
        <v>80</v>
      </c>
      <c r="V4" s="333" t="s">
        <v>47</v>
      </c>
      <c r="W4" s="320" t="s">
        <v>26</v>
      </c>
      <c r="X4" s="325"/>
      <c r="Y4" s="325"/>
      <c r="Z4" s="321"/>
      <c r="AA4" s="320" t="s">
        <v>30</v>
      </c>
      <c r="AB4" s="321"/>
      <c r="AC4" s="339" t="s">
        <v>82</v>
      </c>
      <c r="AD4" s="342" t="s">
        <v>55</v>
      </c>
      <c r="AE4" s="339" t="s">
        <v>77</v>
      </c>
      <c r="AF4" s="313" t="s">
        <v>13</v>
      </c>
      <c r="AG4" s="353" t="s">
        <v>68</v>
      </c>
      <c r="AH4" s="314" t="s">
        <v>31</v>
      </c>
      <c r="AI4" s="317" t="s">
        <v>32</v>
      </c>
      <c r="AJ4" s="373" t="s">
        <v>72</v>
      </c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4" t="s">
        <v>18</v>
      </c>
      <c r="AX4" s="376"/>
      <c r="AY4" s="376"/>
      <c r="AZ4" s="376"/>
      <c r="BA4" s="376"/>
      <c r="BB4" s="375"/>
      <c r="BC4" s="367" t="s">
        <v>73</v>
      </c>
      <c r="BD4" s="314" t="s">
        <v>84</v>
      </c>
    </row>
    <row r="5" spans="1:56" ht="135.75" customHeight="1">
      <c r="A5" s="298"/>
      <c r="B5" s="298"/>
      <c r="C5" s="340"/>
      <c r="D5" s="298"/>
      <c r="E5" s="298"/>
      <c r="F5" s="298"/>
      <c r="G5" s="309"/>
      <c r="H5" s="309"/>
      <c r="I5" s="336"/>
      <c r="J5" s="336"/>
      <c r="K5" s="326"/>
      <c r="L5" s="327"/>
      <c r="M5" s="336"/>
      <c r="N5" s="298" t="s">
        <v>24</v>
      </c>
      <c r="O5" s="298"/>
      <c r="P5" s="298" t="s">
        <v>25</v>
      </c>
      <c r="Q5" s="298"/>
      <c r="R5" s="326"/>
      <c r="S5" s="327"/>
      <c r="T5" s="329"/>
      <c r="U5" s="331"/>
      <c r="V5" s="334"/>
      <c r="W5" s="305" t="s">
        <v>28</v>
      </c>
      <c r="X5" s="306"/>
      <c r="Y5" s="305" t="s">
        <v>29</v>
      </c>
      <c r="Z5" s="306"/>
      <c r="AA5" s="322"/>
      <c r="AB5" s="323"/>
      <c r="AC5" s="340"/>
      <c r="AD5" s="343"/>
      <c r="AE5" s="340"/>
      <c r="AF5" s="313"/>
      <c r="AG5" s="353"/>
      <c r="AH5" s="315"/>
      <c r="AI5" s="318"/>
      <c r="AJ5" s="348" t="s">
        <v>64</v>
      </c>
      <c r="AK5" s="305" t="s">
        <v>54</v>
      </c>
      <c r="AL5" s="306"/>
      <c r="AM5" s="339" t="s">
        <v>63</v>
      </c>
      <c r="AN5" s="339" t="s">
        <v>51</v>
      </c>
      <c r="AO5" s="320" t="s">
        <v>69</v>
      </c>
      <c r="AP5" s="321"/>
      <c r="AQ5" s="301" t="s">
        <v>70</v>
      </c>
      <c r="AR5" s="301" t="s">
        <v>83</v>
      </c>
      <c r="AS5" s="301" t="s">
        <v>71</v>
      </c>
      <c r="AT5" s="361" t="s">
        <v>17</v>
      </c>
      <c r="AU5" s="362"/>
      <c r="AV5" s="363"/>
      <c r="AW5" s="374" t="s">
        <v>19</v>
      </c>
      <c r="AX5" s="375"/>
      <c r="AY5" s="370" t="s">
        <v>33</v>
      </c>
      <c r="AZ5" s="374" t="s">
        <v>20</v>
      </c>
      <c r="BA5" s="375"/>
      <c r="BB5" s="377" t="s">
        <v>33</v>
      </c>
      <c r="BC5" s="368"/>
      <c r="BD5" s="315"/>
    </row>
    <row r="6" spans="1:56" ht="114" customHeight="1">
      <c r="A6" s="298"/>
      <c r="B6" s="298"/>
      <c r="C6" s="341"/>
      <c r="D6" s="298"/>
      <c r="E6" s="298"/>
      <c r="F6" s="298"/>
      <c r="G6" s="302"/>
      <c r="H6" s="302"/>
      <c r="I6" s="336"/>
      <c r="J6" s="336"/>
      <c r="K6" s="5" t="s">
        <v>22</v>
      </c>
      <c r="L6" s="4" t="s">
        <v>23</v>
      </c>
      <c r="M6" s="336"/>
      <c r="N6" s="5" t="s">
        <v>22</v>
      </c>
      <c r="O6" s="4" t="s">
        <v>23</v>
      </c>
      <c r="P6" s="8" t="s">
        <v>22</v>
      </c>
      <c r="Q6" s="8" t="s">
        <v>23</v>
      </c>
      <c r="R6" s="5" t="s">
        <v>22</v>
      </c>
      <c r="S6" s="4" t="s">
        <v>23</v>
      </c>
      <c r="T6" s="330"/>
      <c r="U6" s="332"/>
      <c r="V6" s="335"/>
      <c r="W6" s="9" t="s">
        <v>27</v>
      </c>
      <c r="X6" s="9" t="s">
        <v>23</v>
      </c>
      <c r="Y6" s="72" t="s">
        <v>27</v>
      </c>
      <c r="Z6" s="9" t="s">
        <v>23</v>
      </c>
      <c r="AA6" s="9" t="s">
        <v>27</v>
      </c>
      <c r="AB6" s="9" t="s">
        <v>23</v>
      </c>
      <c r="AC6" s="341"/>
      <c r="AD6" s="344"/>
      <c r="AE6" s="341"/>
      <c r="AF6" s="313"/>
      <c r="AG6" s="353"/>
      <c r="AH6" s="316"/>
      <c r="AI6" s="319"/>
      <c r="AJ6" s="349"/>
      <c r="AK6" s="4" t="s">
        <v>15</v>
      </c>
      <c r="AL6" s="4" t="s">
        <v>16</v>
      </c>
      <c r="AM6" s="372"/>
      <c r="AN6" s="341"/>
      <c r="AO6" s="82" t="s">
        <v>15</v>
      </c>
      <c r="AP6" s="4" t="s">
        <v>16</v>
      </c>
      <c r="AQ6" s="302"/>
      <c r="AR6" s="302"/>
      <c r="AS6" s="302"/>
      <c r="AT6" s="82" t="s">
        <v>15</v>
      </c>
      <c r="AU6" s="4" t="s">
        <v>16</v>
      </c>
      <c r="AV6" s="86" t="s">
        <v>73</v>
      </c>
      <c r="AW6" s="10" t="s">
        <v>15</v>
      </c>
      <c r="AX6" s="11" t="s">
        <v>16</v>
      </c>
      <c r="AY6" s="371"/>
      <c r="AZ6" s="10" t="s">
        <v>15</v>
      </c>
      <c r="BA6" s="11" t="s">
        <v>16</v>
      </c>
      <c r="BB6" s="378"/>
      <c r="BC6" s="369"/>
      <c r="BD6" s="316"/>
    </row>
    <row r="7" spans="1:57" ht="78.75" customHeight="1">
      <c r="A7" s="12">
        <v>1</v>
      </c>
      <c r="B7" s="84" t="s">
        <v>60</v>
      </c>
      <c r="C7" s="4">
        <v>1</v>
      </c>
      <c r="D7" s="83" t="s">
        <v>14</v>
      </c>
      <c r="E7" s="63">
        <v>22</v>
      </c>
      <c r="F7" s="63">
        <v>175</v>
      </c>
      <c r="G7" s="16">
        <v>3127</v>
      </c>
      <c r="H7" s="60">
        <f>G7</f>
        <v>3127</v>
      </c>
      <c r="I7" s="17">
        <v>90</v>
      </c>
      <c r="J7" s="17">
        <f>H7+I7</f>
        <v>3217</v>
      </c>
      <c r="K7" s="18"/>
      <c r="L7" s="16"/>
      <c r="M7" s="16">
        <f>J7+L7</f>
        <v>3217</v>
      </c>
      <c r="N7" s="16"/>
      <c r="O7" s="16"/>
      <c r="P7" s="16"/>
      <c r="Q7" s="85"/>
      <c r="R7" s="18">
        <v>1</v>
      </c>
      <c r="S7" s="16">
        <f>H7*R7</f>
        <v>3127</v>
      </c>
      <c r="T7" s="17"/>
      <c r="U7" s="17"/>
      <c r="V7" s="17"/>
      <c r="W7" s="72"/>
      <c r="X7" s="17"/>
      <c r="Y7" s="74"/>
      <c r="Z7" s="16"/>
      <c r="AA7" s="74"/>
      <c r="AB7" s="16"/>
      <c r="AC7" s="16"/>
      <c r="AD7" s="16"/>
      <c r="AE7" s="16"/>
      <c r="AF7" s="75">
        <f aca="true" t="shared" si="0" ref="AF7:AF19">AB7+Z7+X7+V7+S7+Q7+O7+M7+T7+AC7+AE7+U7+AD7</f>
        <v>6344</v>
      </c>
      <c r="AG7" s="76">
        <v>10</v>
      </c>
      <c r="AH7" s="36">
        <f>G7/E7*AG7</f>
        <v>1421.36</v>
      </c>
      <c r="AI7" s="17">
        <f>AF7-AH7</f>
        <v>4922.64</v>
      </c>
      <c r="AJ7" s="16"/>
      <c r="AK7" s="16">
        <f>AH7*18%</f>
        <v>255.84</v>
      </c>
      <c r="AL7" s="16">
        <f>AF7*18%-AK7</f>
        <v>886.08</v>
      </c>
      <c r="AM7" s="16"/>
      <c r="AN7" s="77">
        <f>SUM(AK7:AM7)</f>
        <v>1141.92</v>
      </c>
      <c r="AO7" s="16">
        <f>AH7*1.5%</f>
        <v>21.32</v>
      </c>
      <c r="AP7" s="16">
        <f>AF7*1.5%-AO7</f>
        <v>73.84</v>
      </c>
      <c r="AQ7" s="77">
        <f>AO7+AP7</f>
        <v>95.16</v>
      </c>
      <c r="AR7" s="77"/>
      <c r="AS7" s="16">
        <f>AF7*1%</f>
        <v>63.44</v>
      </c>
      <c r="AT7" s="16">
        <f>AK7+AO7</f>
        <v>277.16</v>
      </c>
      <c r="AU7" s="16">
        <f>AL7+AM7+AP7+AS7</f>
        <v>1023.36</v>
      </c>
      <c r="AV7" s="77">
        <f>AN7+AQ7+AS7</f>
        <v>1300.52</v>
      </c>
      <c r="AW7" s="36">
        <f>AH7-(AK7+AO7)</f>
        <v>1144.2</v>
      </c>
      <c r="AX7" s="36">
        <f>AF7-(AV7+AW7)</f>
        <v>3899.28</v>
      </c>
      <c r="AY7" s="61">
        <f>SUM(AW7:AX7)</f>
        <v>5043.48</v>
      </c>
      <c r="AZ7" s="78"/>
      <c r="BA7" s="36"/>
      <c r="BB7" s="61">
        <f>SUM(AZ7:BA7)</f>
        <v>0</v>
      </c>
      <c r="BC7" s="61">
        <f aca="true" t="shared" si="1" ref="BC7:BC21">AY7+BB7</f>
        <v>5043.48</v>
      </c>
      <c r="BD7" s="79">
        <f aca="true" t="shared" si="2" ref="BD7:BD21">AF7*22%</f>
        <v>1395.68</v>
      </c>
      <c r="BE7" s="89"/>
    </row>
    <row r="8" spans="1:57" ht="78.75" customHeight="1">
      <c r="A8" s="12">
        <v>2</v>
      </c>
      <c r="B8" s="84" t="s">
        <v>34</v>
      </c>
      <c r="C8" s="4">
        <v>1</v>
      </c>
      <c r="D8" s="83" t="s">
        <v>35</v>
      </c>
      <c r="E8" s="63">
        <v>22</v>
      </c>
      <c r="F8" s="63">
        <v>175</v>
      </c>
      <c r="G8" s="16">
        <v>2457</v>
      </c>
      <c r="H8" s="60">
        <f>G8</f>
        <v>2457</v>
      </c>
      <c r="I8" s="17">
        <f>90</f>
        <v>90</v>
      </c>
      <c r="J8" s="17">
        <f>H8+I8</f>
        <v>2547</v>
      </c>
      <c r="K8" s="18">
        <v>0.4</v>
      </c>
      <c r="L8" s="16">
        <f>J8*K8</f>
        <v>1018.8</v>
      </c>
      <c r="M8" s="16">
        <f>J8+L8</f>
        <v>3565.8</v>
      </c>
      <c r="N8" s="16"/>
      <c r="O8" s="16"/>
      <c r="P8" s="16"/>
      <c r="Q8" s="85"/>
      <c r="R8" s="18">
        <v>1</v>
      </c>
      <c r="S8" s="16">
        <f>H8*R8</f>
        <v>2457</v>
      </c>
      <c r="T8" s="17"/>
      <c r="U8" s="17"/>
      <c r="V8" s="17"/>
      <c r="W8" s="72"/>
      <c r="X8" s="17"/>
      <c r="Y8" s="74"/>
      <c r="Z8" s="16"/>
      <c r="AA8" s="74"/>
      <c r="AB8" s="16"/>
      <c r="AC8" s="16"/>
      <c r="AD8" s="16"/>
      <c r="AE8" s="16"/>
      <c r="AF8" s="75">
        <f t="shared" si="0"/>
        <v>6022.8</v>
      </c>
      <c r="AG8" s="76"/>
      <c r="AH8" s="36">
        <f>G8/E8*AG8</f>
        <v>0</v>
      </c>
      <c r="AI8" s="17">
        <f>AF8-AH8</f>
        <v>6022.8</v>
      </c>
      <c r="AJ8" s="16"/>
      <c r="AK8" s="16">
        <f>AH8*18%</f>
        <v>0</v>
      </c>
      <c r="AL8" s="16">
        <f>AF8*18%-AK8</f>
        <v>1084.1</v>
      </c>
      <c r="AM8" s="16"/>
      <c r="AN8" s="77">
        <f>SUM(AK8:AM8)</f>
        <v>1084.1</v>
      </c>
      <c r="AO8" s="16">
        <f>AH8*1.5%</f>
        <v>0</v>
      </c>
      <c r="AP8" s="16">
        <f>AF8*1.5%-AO8</f>
        <v>90.34</v>
      </c>
      <c r="AQ8" s="77">
        <f>AO8+AP8</f>
        <v>90.34</v>
      </c>
      <c r="AR8" s="77"/>
      <c r="AS8" s="16">
        <f>AF8*1%</f>
        <v>60.23</v>
      </c>
      <c r="AT8" s="16">
        <f>AK8+AO8</f>
        <v>0</v>
      </c>
      <c r="AU8" s="16">
        <f>AL8+AM8+AP8+AS8</f>
        <v>1234.67</v>
      </c>
      <c r="AV8" s="77">
        <f aca="true" t="shared" si="3" ref="AV8:AV18">AN8+AQ8+AS8</f>
        <v>1234.67</v>
      </c>
      <c r="AW8" s="36">
        <f>AH8-(AK8+AO8)</f>
        <v>0</v>
      </c>
      <c r="AX8" s="36">
        <f>AF8-(AV8+AW8)</f>
        <v>4788.13</v>
      </c>
      <c r="AY8" s="61">
        <f aca="true" t="shared" si="4" ref="AY8:AY20">SUM(AW8:AX8)</f>
        <v>4788.13</v>
      </c>
      <c r="AZ8" s="78"/>
      <c r="BA8" s="36"/>
      <c r="BB8" s="61">
        <f aca="true" t="shared" si="5" ref="BB8:BB21">SUM(AZ8:BA8)</f>
        <v>0</v>
      </c>
      <c r="BC8" s="61">
        <f t="shared" si="1"/>
        <v>4788.13</v>
      </c>
      <c r="BD8" s="79">
        <f t="shared" si="2"/>
        <v>1325.02</v>
      </c>
      <c r="BE8" s="89"/>
    </row>
    <row r="9" spans="1:57" ht="63.75" customHeight="1">
      <c r="A9" s="12">
        <v>3</v>
      </c>
      <c r="B9" s="84" t="s">
        <v>36</v>
      </c>
      <c r="C9" s="4">
        <v>1</v>
      </c>
      <c r="D9" s="83" t="s">
        <v>5</v>
      </c>
      <c r="E9" s="63">
        <v>22</v>
      </c>
      <c r="F9" s="63">
        <v>175</v>
      </c>
      <c r="G9" s="16">
        <v>1723</v>
      </c>
      <c r="H9" s="60">
        <f>G9</f>
        <v>1723</v>
      </c>
      <c r="I9" s="17">
        <f>55</f>
        <v>55</v>
      </c>
      <c r="J9" s="17">
        <f>H9+I9</f>
        <v>1778</v>
      </c>
      <c r="K9" s="18">
        <v>0.15</v>
      </c>
      <c r="L9" s="16">
        <f>J9*K9</f>
        <v>266.7</v>
      </c>
      <c r="M9" s="16">
        <f>J9+L9</f>
        <v>2044.7</v>
      </c>
      <c r="N9" s="16"/>
      <c r="O9" s="16"/>
      <c r="P9" s="16"/>
      <c r="Q9" s="85"/>
      <c r="R9" s="18">
        <v>1</v>
      </c>
      <c r="S9" s="16">
        <f>H9*R9</f>
        <v>1723</v>
      </c>
      <c r="T9" s="17"/>
      <c r="U9" s="17"/>
      <c r="V9" s="17"/>
      <c r="W9" s="72"/>
      <c r="X9" s="17"/>
      <c r="Y9" s="74"/>
      <c r="Z9" s="16"/>
      <c r="AA9" s="74"/>
      <c r="AB9" s="16"/>
      <c r="AC9" s="16">
        <v>508.3</v>
      </c>
      <c r="AD9" s="16"/>
      <c r="AE9" s="16"/>
      <c r="AF9" s="75">
        <f t="shared" si="0"/>
        <v>4276</v>
      </c>
      <c r="AG9" s="76">
        <v>10</v>
      </c>
      <c r="AH9" s="36">
        <v>770.91</v>
      </c>
      <c r="AI9" s="17">
        <f>AF9-AH9</f>
        <v>3505.09</v>
      </c>
      <c r="AJ9" s="16"/>
      <c r="AK9" s="16">
        <f>AH9*18%</f>
        <v>138.76</v>
      </c>
      <c r="AL9" s="16">
        <f>AF9*18%-AK9</f>
        <v>630.92</v>
      </c>
      <c r="AM9" s="16"/>
      <c r="AN9" s="77">
        <f>SUM(AK9:AM9)</f>
        <v>769.68</v>
      </c>
      <c r="AO9" s="16">
        <f>AH9*1.5%</f>
        <v>11.56</v>
      </c>
      <c r="AP9" s="16">
        <f>AF9*1.5%-AO9</f>
        <v>52.58</v>
      </c>
      <c r="AQ9" s="77">
        <f>AO9+AP9</f>
        <v>64.14</v>
      </c>
      <c r="AR9" s="77"/>
      <c r="AS9" s="16">
        <f>AF9*1%</f>
        <v>42.76</v>
      </c>
      <c r="AT9" s="16">
        <f>AK9+AO9</f>
        <v>150.32</v>
      </c>
      <c r="AU9" s="16">
        <f>AL9+AM9+AP9+AS9</f>
        <v>726.26</v>
      </c>
      <c r="AV9" s="77">
        <f t="shared" si="3"/>
        <v>876.58</v>
      </c>
      <c r="AW9" s="36">
        <f>AH9-(AK9+AO9)</f>
        <v>620.59</v>
      </c>
      <c r="AX9" s="36">
        <f>AF9-(AV9+AW9)</f>
        <v>2778.83</v>
      </c>
      <c r="AY9" s="61">
        <f t="shared" si="4"/>
        <v>3399.42</v>
      </c>
      <c r="AZ9" s="78"/>
      <c r="BA9" s="36"/>
      <c r="BB9" s="61">
        <f t="shared" si="5"/>
        <v>0</v>
      </c>
      <c r="BC9" s="61">
        <f t="shared" si="1"/>
        <v>3399.42</v>
      </c>
      <c r="BD9" s="79">
        <f t="shared" si="2"/>
        <v>940.72</v>
      </c>
      <c r="BE9" s="89"/>
    </row>
    <row r="10" spans="1:57" ht="93.75" customHeight="1">
      <c r="A10" s="12">
        <v>4</v>
      </c>
      <c r="B10" s="84" t="s">
        <v>37</v>
      </c>
      <c r="C10" s="4">
        <v>1</v>
      </c>
      <c r="D10" s="83" t="s">
        <v>38</v>
      </c>
      <c r="E10" s="63">
        <v>22</v>
      </c>
      <c r="F10" s="63">
        <v>175</v>
      </c>
      <c r="G10" s="16">
        <v>1723</v>
      </c>
      <c r="H10" s="60">
        <f>G10</f>
        <v>1723</v>
      </c>
      <c r="I10" s="17">
        <f>55</f>
        <v>55</v>
      </c>
      <c r="J10" s="17">
        <f>H10+I10</f>
        <v>1778</v>
      </c>
      <c r="K10" s="18">
        <v>0.25</v>
      </c>
      <c r="L10" s="16">
        <f>J10*K10</f>
        <v>444.5</v>
      </c>
      <c r="M10" s="16">
        <f>J10+L10</f>
        <v>2222.5</v>
      </c>
      <c r="N10" s="16"/>
      <c r="O10" s="16"/>
      <c r="P10" s="16"/>
      <c r="Q10" s="85"/>
      <c r="R10" s="18"/>
      <c r="S10" s="16"/>
      <c r="T10" s="17"/>
      <c r="U10" s="17"/>
      <c r="V10" s="17"/>
      <c r="W10" s="72"/>
      <c r="X10" s="17"/>
      <c r="Y10" s="74"/>
      <c r="Z10" s="16"/>
      <c r="AA10" s="74"/>
      <c r="AB10" s="16"/>
      <c r="AC10" s="16">
        <v>2900.65</v>
      </c>
      <c r="AD10" s="16"/>
      <c r="AE10" s="16">
        <v>1000</v>
      </c>
      <c r="AF10" s="75">
        <f t="shared" si="0"/>
        <v>6123.15</v>
      </c>
      <c r="AG10" s="76">
        <v>10</v>
      </c>
      <c r="AH10" s="36">
        <v>626.36</v>
      </c>
      <c r="AI10" s="17">
        <f>AF10-AH10</f>
        <v>5496.79</v>
      </c>
      <c r="AJ10" s="16"/>
      <c r="AK10" s="16">
        <f>AH10*18%</f>
        <v>112.74</v>
      </c>
      <c r="AL10" s="16">
        <f>AF10*18%-AK10</f>
        <v>989.43</v>
      </c>
      <c r="AM10" s="16"/>
      <c r="AN10" s="77">
        <f>SUM(AK10:AM10)</f>
        <v>1102.17</v>
      </c>
      <c r="AO10" s="16">
        <f>AH10*1.5%</f>
        <v>9.4</v>
      </c>
      <c r="AP10" s="16">
        <f>AF10*1.5%-AO10</f>
        <v>82.45</v>
      </c>
      <c r="AQ10" s="77">
        <f>AO10+AP10</f>
        <v>91.85</v>
      </c>
      <c r="AR10" s="77"/>
      <c r="AS10" s="16">
        <f>AF10*1%</f>
        <v>61.23</v>
      </c>
      <c r="AT10" s="16">
        <f>AK10+AO10</f>
        <v>122.14</v>
      </c>
      <c r="AU10" s="16">
        <f>AL10+AM10+AP10+AS10</f>
        <v>1133.11</v>
      </c>
      <c r="AV10" s="77">
        <f t="shared" si="3"/>
        <v>1255.25</v>
      </c>
      <c r="AW10" s="36">
        <f>AH10-(AK10+AO10)</f>
        <v>504.22</v>
      </c>
      <c r="AX10" s="36">
        <f>AF10-(AV10+AW10)</f>
        <v>4363.68</v>
      </c>
      <c r="AY10" s="61">
        <f t="shared" si="4"/>
        <v>4867.9</v>
      </c>
      <c r="AZ10" s="78"/>
      <c r="BA10" s="36"/>
      <c r="BB10" s="61">
        <f t="shared" si="5"/>
        <v>0</v>
      </c>
      <c r="BC10" s="61">
        <f t="shared" si="1"/>
        <v>4867.9</v>
      </c>
      <c r="BD10" s="79">
        <f t="shared" si="2"/>
        <v>1347.09</v>
      </c>
      <c r="BE10" s="89"/>
    </row>
    <row r="11" spans="1:57" ht="78.75" customHeight="1">
      <c r="A11" s="50"/>
      <c r="B11" s="90" t="s">
        <v>39</v>
      </c>
      <c r="C11" s="91">
        <f>SUM(C7:C10)</f>
        <v>4</v>
      </c>
      <c r="D11" s="91"/>
      <c r="E11" s="63"/>
      <c r="F11" s="63">
        <f>SUM(F7:F10)</f>
        <v>700</v>
      </c>
      <c r="G11" s="52">
        <f>SUM(G7:G10)</f>
        <v>9030</v>
      </c>
      <c r="H11" s="61">
        <f>SUM(H7:H10)</f>
        <v>9030</v>
      </c>
      <c r="I11" s="33">
        <f>SUM(I7:I10)</f>
        <v>290</v>
      </c>
      <c r="J11" s="33">
        <f>SUM(J7:J10)</f>
        <v>9320</v>
      </c>
      <c r="K11" s="33"/>
      <c r="L11" s="33">
        <f aca="true" t="shared" si="6" ref="L11:Q11">SUM(L7:L10)</f>
        <v>1730</v>
      </c>
      <c r="M11" s="33">
        <f t="shared" si="6"/>
        <v>11050</v>
      </c>
      <c r="N11" s="33">
        <f t="shared" si="6"/>
        <v>0</v>
      </c>
      <c r="O11" s="33">
        <f t="shared" si="6"/>
        <v>0</v>
      </c>
      <c r="P11" s="33">
        <f t="shared" si="6"/>
        <v>0</v>
      </c>
      <c r="Q11" s="33">
        <f t="shared" si="6"/>
        <v>0</v>
      </c>
      <c r="R11" s="33"/>
      <c r="S11" s="33">
        <f aca="true" t="shared" si="7" ref="S11:AE11">SUM(S7:S10)</f>
        <v>7307</v>
      </c>
      <c r="T11" s="33">
        <f t="shared" si="7"/>
        <v>0</v>
      </c>
      <c r="U11" s="33">
        <f t="shared" si="7"/>
        <v>0</v>
      </c>
      <c r="V11" s="33">
        <f t="shared" si="7"/>
        <v>0</v>
      </c>
      <c r="W11" s="34">
        <f t="shared" si="7"/>
        <v>0</v>
      </c>
      <c r="X11" s="33">
        <f t="shared" si="7"/>
        <v>0</v>
      </c>
      <c r="Y11" s="34">
        <f t="shared" si="7"/>
        <v>0</v>
      </c>
      <c r="Z11" s="33">
        <f t="shared" si="7"/>
        <v>0</v>
      </c>
      <c r="AA11" s="33">
        <f t="shared" si="7"/>
        <v>0</v>
      </c>
      <c r="AB11" s="33">
        <f t="shared" si="7"/>
        <v>0</v>
      </c>
      <c r="AC11" s="33">
        <f t="shared" si="7"/>
        <v>3408.95</v>
      </c>
      <c r="AD11" s="33">
        <f t="shared" si="7"/>
        <v>0</v>
      </c>
      <c r="AE11" s="33">
        <f t="shared" si="7"/>
        <v>1000</v>
      </c>
      <c r="AF11" s="75">
        <f t="shared" si="0"/>
        <v>22765.95</v>
      </c>
      <c r="AG11" s="76"/>
      <c r="AH11" s="80">
        <f>SUM(AH7:AH10)</f>
        <v>2818.63</v>
      </c>
      <c r="AI11" s="80">
        <f>SUM(AI7:AI10)</f>
        <v>19947.32</v>
      </c>
      <c r="AJ11" s="33">
        <f aca="true" t="shared" si="8" ref="AJ11:BA11">SUM(AJ7:AJ10)</f>
        <v>0</v>
      </c>
      <c r="AK11" s="33">
        <f t="shared" si="8"/>
        <v>507.34</v>
      </c>
      <c r="AL11" s="33">
        <f t="shared" si="8"/>
        <v>3590.53</v>
      </c>
      <c r="AM11" s="33">
        <f t="shared" si="8"/>
        <v>0</v>
      </c>
      <c r="AN11" s="33">
        <f t="shared" si="8"/>
        <v>4097.87</v>
      </c>
      <c r="AO11" s="33">
        <f t="shared" si="8"/>
        <v>42.28</v>
      </c>
      <c r="AP11" s="33">
        <f t="shared" si="8"/>
        <v>299.21</v>
      </c>
      <c r="AQ11" s="33">
        <f t="shared" si="8"/>
        <v>341.49</v>
      </c>
      <c r="AR11" s="33"/>
      <c r="AS11" s="33">
        <f t="shared" si="8"/>
        <v>227.66</v>
      </c>
      <c r="AT11" s="33">
        <f t="shared" si="8"/>
        <v>549.62</v>
      </c>
      <c r="AU11" s="33">
        <f t="shared" si="8"/>
        <v>4117.4</v>
      </c>
      <c r="AV11" s="33">
        <f t="shared" si="8"/>
        <v>4667.02</v>
      </c>
      <c r="AW11" s="33">
        <f t="shared" si="8"/>
        <v>2269.01</v>
      </c>
      <c r="AX11" s="33">
        <f t="shared" si="8"/>
        <v>15829.92</v>
      </c>
      <c r="AY11" s="61">
        <f>SUM(AW11:AX11)</f>
        <v>18098.93</v>
      </c>
      <c r="AZ11" s="33">
        <f t="shared" si="8"/>
        <v>0</v>
      </c>
      <c r="BA11" s="33">
        <f t="shared" si="8"/>
        <v>0</v>
      </c>
      <c r="BB11" s="61">
        <f t="shared" si="5"/>
        <v>0</v>
      </c>
      <c r="BC11" s="61">
        <f t="shared" si="1"/>
        <v>18098.93</v>
      </c>
      <c r="BD11" s="79">
        <f t="shared" si="2"/>
        <v>5008.51</v>
      </c>
      <c r="BE11" s="89"/>
    </row>
    <row r="12" spans="1:57" s="94" customFormat="1" ht="96.75" customHeight="1">
      <c r="A12" s="47">
        <v>5</v>
      </c>
      <c r="B12" s="92" t="s">
        <v>61</v>
      </c>
      <c r="C12" s="92">
        <v>1</v>
      </c>
      <c r="D12" s="92" t="s">
        <v>56</v>
      </c>
      <c r="E12" s="63">
        <v>17</v>
      </c>
      <c r="F12" s="63">
        <v>135</v>
      </c>
      <c r="G12" s="55">
        <v>1723</v>
      </c>
      <c r="H12" s="60">
        <f>G12/22*E12</f>
        <v>1331.41</v>
      </c>
      <c r="I12" s="55"/>
      <c r="J12" s="17">
        <f aca="true" t="shared" si="9" ref="J12:J17">H12+I12</f>
        <v>1331.41</v>
      </c>
      <c r="K12" s="55"/>
      <c r="L12" s="55"/>
      <c r="M12" s="16">
        <f aca="true" t="shared" si="10" ref="M12:M19">J12+L12</f>
        <v>1331.41</v>
      </c>
      <c r="N12" s="59"/>
      <c r="O12" s="16"/>
      <c r="P12" s="55"/>
      <c r="Q12" s="85"/>
      <c r="R12" s="18"/>
      <c r="S12" s="16"/>
      <c r="T12" s="55">
        <v>861.5</v>
      </c>
      <c r="U12" s="55"/>
      <c r="V12" s="55"/>
      <c r="W12" s="73"/>
      <c r="X12" s="55"/>
      <c r="Y12" s="73"/>
      <c r="Z12" s="55"/>
      <c r="AA12" s="55"/>
      <c r="AB12" s="55"/>
      <c r="AC12" s="55">
        <v>1890</v>
      </c>
      <c r="AD12" s="55"/>
      <c r="AE12" s="55"/>
      <c r="AF12" s="75">
        <f t="shared" si="0"/>
        <v>4082.91</v>
      </c>
      <c r="AG12" s="76">
        <v>10</v>
      </c>
      <c r="AH12" s="36">
        <v>626.36</v>
      </c>
      <c r="AI12" s="17">
        <f aca="true" t="shared" si="11" ref="AI12:AI19">AF12-AH12</f>
        <v>3456.55</v>
      </c>
      <c r="AJ12" s="55"/>
      <c r="AK12" s="16">
        <f aca="true" t="shared" si="12" ref="AK12:AK19">AH12*18%</f>
        <v>112.74</v>
      </c>
      <c r="AL12" s="16">
        <f>AF12*18%-AK12</f>
        <v>622.18</v>
      </c>
      <c r="AM12" s="55"/>
      <c r="AN12" s="77">
        <f aca="true" t="shared" si="13" ref="AN12:AN18">AK12+AL12</f>
        <v>734.92</v>
      </c>
      <c r="AO12" s="16">
        <f aca="true" t="shared" si="14" ref="AO12:AO18">AH12*1.5%</f>
        <v>9.4</v>
      </c>
      <c r="AP12" s="16">
        <f aca="true" t="shared" si="15" ref="AP12:AP18">AF12*1.5%-AO12</f>
        <v>51.84</v>
      </c>
      <c r="AQ12" s="77">
        <f>AO12+AP12</f>
        <v>61.24</v>
      </c>
      <c r="AR12" s="77"/>
      <c r="AS12" s="16">
        <f aca="true" t="shared" si="16" ref="AS12:AS18">AF12*1%</f>
        <v>40.83</v>
      </c>
      <c r="AT12" s="16">
        <f aca="true" t="shared" si="17" ref="AT12:AT18">AK12+AO12</f>
        <v>122.14</v>
      </c>
      <c r="AU12" s="16">
        <f aca="true" t="shared" si="18" ref="AU12:AU17">AL12+AM12+AP12+AS12</f>
        <v>714.85</v>
      </c>
      <c r="AV12" s="77">
        <f t="shared" si="3"/>
        <v>836.99</v>
      </c>
      <c r="AW12" s="36">
        <f aca="true" t="shared" si="19" ref="AW12:AW18">AH12-(AK12+AO12)</f>
        <v>504.22</v>
      </c>
      <c r="AX12" s="36">
        <f>AF12-(AV12+AW12)</f>
        <v>2741.7</v>
      </c>
      <c r="AY12" s="61">
        <f t="shared" si="4"/>
        <v>3245.92</v>
      </c>
      <c r="AZ12" s="58"/>
      <c r="BA12" s="55"/>
      <c r="BB12" s="61">
        <f t="shared" si="5"/>
        <v>0</v>
      </c>
      <c r="BC12" s="61">
        <f t="shared" si="1"/>
        <v>3245.92</v>
      </c>
      <c r="BD12" s="79">
        <f t="shared" si="2"/>
        <v>898.24</v>
      </c>
      <c r="BE12" s="93"/>
    </row>
    <row r="13" spans="1:57" ht="78.75" customHeight="1">
      <c r="A13" s="12">
        <v>6</v>
      </c>
      <c r="B13" s="4" t="s">
        <v>41</v>
      </c>
      <c r="C13" s="4">
        <v>1</v>
      </c>
      <c r="D13" s="95" t="s">
        <v>42</v>
      </c>
      <c r="E13" s="63">
        <v>22</v>
      </c>
      <c r="F13" s="63">
        <v>175</v>
      </c>
      <c r="G13" s="55">
        <v>1723</v>
      </c>
      <c r="H13" s="60">
        <f aca="true" t="shared" si="20" ref="H13:H19">G13/22*E13</f>
        <v>1723</v>
      </c>
      <c r="I13" s="17"/>
      <c r="J13" s="17">
        <f t="shared" si="9"/>
        <v>1723</v>
      </c>
      <c r="K13" s="18">
        <v>0.4</v>
      </c>
      <c r="L13" s="16">
        <f>J13*K13</f>
        <v>689.2</v>
      </c>
      <c r="M13" s="16">
        <f t="shared" si="10"/>
        <v>2412.2</v>
      </c>
      <c r="N13" s="59"/>
      <c r="O13" s="16"/>
      <c r="P13" s="38"/>
      <c r="Q13" s="19"/>
      <c r="R13" s="18"/>
      <c r="S13" s="16"/>
      <c r="T13" s="17"/>
      <c r="U13" s="17"/>
      <c r="V13" s="17"/>
      <c r="W13" s="72"/>
      <c r="X13" s="17"/>
      <c r="Y13" s="74"/>
      <c r="Z13" s="16"/>
      <c r="AA13" s="74"/>
      <c r="AB13" s="16"/>
      <c r="AC13" s="36">
        <v>2443.8</v>
      </c>
      <c r="AD13" s="16"/>
      <c r="AE13" s="36"/>
      <c r="AF13" s="75">
        <f t="shared" si="0"/>
        <v>4856</v>
      </c>
      <c r="AG13" s="76"/>
      <c r="AH13" s="36">
        <f>G13/E13*AG13</f>
        <v>0</v>
      </c>
      <c r="AI13" s="17">
        <f t="shared" si="11"/>
        <v>4856</v>
      </c>
      <c r="AJ13" s="16"/>
      <c r="AK13" s="16">
        <f t="shared" si="12"/>
        <v>0</v>
      </c>
      <c r="AL13" s="16">
        <f>AF13*18%-AK13</f>
        <v>874.08</v>
      </c>
      <c r="AM13" s="16"/>
      <c r="AN13" s="77">
        <f t="shared" si="13"/>
        <v>874.08</v>
      </c>
      <c r="AO13" s="16">
        <f t="shared" si="14"/>
        <v>0</v>
      </c>
      <c r="AP13" s="16">
        <f t="shared" si="15"/>
        <v>72.84</v>
      </c>
      <c r="AQ13" s="77">
        <f aca="true" t="shared" si="21" ref="AQ13:AQ18">AO13+AP13</f>
        <v>72.84</v>
      </c>
      <c r="AR13" s="77"/>
      <c r="AS13" s="16">
        <f t="shared" si="16"/>
        <v>48.56</v>
      </c>
      <c r="AT13" s="16">
        <f t="shared" si="17"/>
        <v>0</v>
      </c>
      <c r="AU13" s="16">
        <f t="shared" si="18"/>
        <v>995.48</v>
      </c>
      <c r="AV13" s="77">
        <f t="shared" si="3"/>
        <v>995.48</v>
      </c>
      <c r="AW13" s="36">
        <f t="shared" si="19"/>
        <v>0</v>
      </c>
      <c r="AX13" s="36">
        <v>0</v>
      </c>
      <c r="AY13" s="61">
        <f t="shared" si="4"/>
        <v>0</v>
      </c>
      <c r="AZ13" s="78"/>
      <c r="BA13" s="36">
        <f>AF13-AV13</f>
        <v>3860.52</v>
      </c>
      <c r="BB13" s="61">
        <f t="shared" si="5"/>
        <v>3860.52</v>
      </c>
      <c r="BC13" s="61">
        <f t="shared" si="1"/>
        <v>3860.52</v>
      </c>
      <c r="BD13" s="79">
        <f t="shared" si="2"/>
        <v>1068.32</v>
      </c>
      <c r="BE13" s="89"/>
    </row>
    <row r="14" spans="1:57" s="94" customFormat="1" ht="78.75" customHeight="1">
      <c r="A14" s="47">
        <v>7</v>
      </c>
      <c r="B14" s="170" t="s">
        <v>74</v>
      </c>
      <c r="C14" s="206">
        <v>1</v>
      </c>
      <c r="D14" s="207" t="s">
        <v>49</v>
      </c>
      <c r="E14" s="47">
        <v>22</v>
      </c>
      <c r="F14" s="47">
        <v>175</v>
      </c>
      <c r="G14" s="55">
        <v>1723</v>
      </c>
      <c r="H14" s="55">
        <f t="shared" si="20"/>
        <v>1723</v>
      </c>
      <c r="I14" s="55"/>
      <c r="J14" s="55">
        <f t="shared" si="9"/>
        <v>1723</v>
      </c>
      <c r="K14" s="59"/>
      <c r="L14" s="55"/>
      <c r="M14" s="55">
        <f t="shared" si="10"/>
        <v>1723</v>
      </c>
      <c r="N14" s="59">
        <v>0.5</v>
      </c>
      <c r="O14" s="55">
        <f>M14*N14</f>
        <v>861.5</v>
      </c>
      <c r="P14" s="59"/>
      <c r="Q14" s="171"/>
      <c r="R14" s="59">
        <v>0.5</v>
      </c>
      <c r="S14" s="55">
        <f>H14*R14</f>
        <v>861.5</v>
      </c>
      <c r="T14" s="55"/>
      <c r="U14" s="55"/>
      <c r="V14" s="55"/>
      <c r="W14" s="73"/>
      <c r="X14" s="55"/>
      <c r="Y14" s="73"/>
      <c r="Z14" s="55"/>
      <c r="AA14" s="73"/>
      <c r="AB14" s="55"/>
      <c r="AC14" s="55">
        <v>624.28</v>
      </c>
      <c r="AD14" s="55"/>
      <c r="AE14" s="55"/>
      <c r="AF14" s="87">
        <f t="shared" si="0"/>
        <v>4070.28</v>
      </c>
      <c r="AG14" s="208">
        <v>10</v>
      </c>
      <c r="AH14" s="55">
        <v>626.36</v>
      </c>
      <c r="AI14" s="55">
        <f t="shared" si="11"/>
        <v>3443.92</v>
      </c>
      <c r="AJ14" s="55"/>
      <c r="AK14" s="55">
        <f t="shared" si="12"/>
        <v>112.74</v>
      </c>
      <c r="AL14" s="55">
        <f>AF14*18%-AK14</f>
        <v>619.91</v>
      </c>
      <c r="AM14" s="55"/>
      <c r="AN14" s="87">
        <f t="shared" si="13"/>
        <v>732.65</v>
      </c>
      <c r="AO14" s="55">
        <f t="shared" si="14"/>
        <v>9.4</v>
      </c>
      <c r="AP14" s="55">
        <f t="shared" si="15"/>
        <v>51.65</v>
      </c>
      <c r="AQ14" s="87">
        <f t="shared" si="21"/>
        <v>61.05</v>
      </c>
      <c r="AR14" s="87"/>
      <c r="AS14" s="55">
        <f t="shared" si="16"/>
        <v>40.7</v>
      </c>
      <c r="AT14" s="55">
        <f t="shared" si="17"/>
        <v>122.14</v>
      </c>
      <c r="AU14" s="55">
        <f t="shared" si="18"/>
        <v>712.26</v>
      </c>
      <c r="AV14" s="87">
        <f t="shared" si="3"/>
        <v>834.4</v>
      </c>
      <c r="AW14" s="55">
        <f t="shared" si="19"/>
        <v>504.22</v>
      </c>
      <c r="AX14" s="55">
        <f>AF14-(AV14+AW14)</f>
        <v>2731.66</v>
      </c>
      <c r="AY14" s="87">
        <f t="shared" si="4"/>
        <v>3235.88</v>
      </c>
      <c r="AZ14" s="55"/>
      <c r="BA14" s="55"/>
      <c r="BB14" s="87">
        <f t="shared" si="5"/>
        <v>0</v>
      </c>
      <c r="BC14" s="87">
        <f t="shared" si="1"/>
        <v>3235.88</v>
      </c>
      <c r="BD14" s="87">
        <f t="shared" si="2"/>
        <v>895.46</v>
      </c>
      <c r="BE14" s="93"/>
    </row>
    <row r="15" spans="1:57" s="94" customFormat="1" ht="78.75" customHeight="1">
      <c r="A15" s="47">
        <v>8</v>
      </c>
      <c r="B15" s="170" t="s">
        <v>43</v>
      </c>
      <c r="C15" s="170">
        <v>1</v>
      </c>
      <c r="D15" s="170" t="s">
        <v>44</v>
      </c>
      <c r="E15" s="47">
        <v>4</v>
      </c>
      <c r="F15" s="47">
        <v>32</v>
      </c>
      <c r="G15" s="55">
        <v>1723</v>
      </c>
      <c r="H15" s="55">
        <f>G15/22*E15</f>
        <v>313.27</v>
      </c>
      <c r="I15" s="55"/>
      <c r="J15" s="55">
        <f t="shared" si="9"/>
        <v>313.27</v>
      </c>
      <c r="K15" s="59">
        <v>0.25</v>
      </c>
      <c r="L15" s="55">
        <f>J15*K15</f>
        <v>78.32</v>
      </c>
      <c r="M15" s="55">
        <f t="shared" si="10"/>
        <v>391.59</v>
      </c>
      <c r="N15" s="59"/>
      <c r="O15" s="55"/>
      <c r="P15" s="55"/>
      <c r="Q15" s="171"/>
      <c r="R15" s="59"/>
      <c r="S15" s="55"/>
      <c r="T15" s="55"/>
      <c r="U15" s="55"/>
      <c r="V15" s="55"/>
      <c r="W15" s="73"/>
      <c r="X15" s="55"/>
      <c r="Y15" s="73"/>
      <c r="Z15" s="55"/>
      <c r="AA15" s="73"/>
      <c r="AB15" s="55"/>
      <c r="AC15" s="55">
        <v>1555.24</v>
      </c>
      <c r="AD15" s="55"/>
      <c r="AE15" s="55"/>
      <c r="AF15" s="87">
        <f t="shared" si="0"/>
        <v>1946.83</v>
      </c>
      <c r="AG15" s="208"/>
      <c r="AH15" s="55">
        <v>0</v>
      </c>
      <c r="AI15" s="55">
        <v>2051.96</v>
      </c>
      <c r="AJ15" s="55"/>
      <c r="AK15" s="55">
        <f t="shared" si="12"/>
        <v>0</v>
      </c>
      <c r="AL15" s="55">
        <f>AF15*18%-AK15</f>
        <v>350.43</v>
      </c>
      <c r="AM15" s="55"/>
      <c r="AN15" s="87">
        <f t="shared" si="13"/>
        <v>350.43</v>
      </c>
      <c r="AO15" s="55">
        <f t="shared" si="14"/>
        <v>0</v>
      </c>
      <c r="AP15" s="55">
        <f t="shared" si="15"/>
        <v>29.2</v>
      </c>
      <c r="AQ15" s="87">
        <f t="shared" si="21"/>
        <v>29.2</v>
      </c>
      <c r="AR15" s="87">
        <v>8.21</v>
      </c>
      <c r="AS15" s="55">
        <f t="shared" si="16"/>
        <v>19.47</v>
      </c>
      <c r="AT15" s="55">
        <f t="shared" si="17"/>
        <v>0</v>
      </c>
      <c r="AU15" s="55">
        <f t="shared" si="18"/>
        <v>399.1</v>
      </c>
      <c r="AV15" s="87">
        <f t="shared" si="3"/>
        <v>399.1</v>
      </c>
      <c r="AW15" s="55">
        <f t="shared" si="19"/>
        <v>0</v>
      </c>
      <c r="AX15" s="55">
        <f>AF15-(AV15+AW15)</f>
        <v>1547.73</v>
      </c>
      <c r="AY15" s="87">
        <f>SUM(AW15:AX15)</f>
        <v>1547.73</v>
      </c>
      <c r="AZ15" s="55"/>
      <c r="BA15" s="55"/>
      <c r="BB15" s="87">
        <f t="shared" si="5"/>
        <v>0</v>
      </c>
      <c r="BC15" s="87">
        <f t="shared" si="1"/>
        <v>1547.73</v>
      </c>
      <c r="BD15" s="87">
        <f t="shared" si="2"/>
        <v>428.3</v>
      </c>
      <c r="BE15" s="93"/>
    </row>
    <row r="16" spans="1:57" s="94" customFormat="1" ht="78.75" customHeight="1">
      <c r="A16" s="47">
        <v>9</v>
      </c>
      <c r="B16" s="170" t="s">
        <v>45</v>
      </c>
      <c r="C16" s="170">
        <v>1</v>
      </c>
      <c r="D16" s="170" t="s">
        <v>44</v>
      </c>
      <c r="E16" s="47">
        <v>22</v>
      </c>
      <c r="F16" s="47">
        <v>175</v>
      </c>
      <c r="G16" s="55">
        <v>1723</v>
      </c>
      <c r="H16" s="55">
        <f t="shared" si="20"/>
        <v>1723</v>
      </c>
      <c r="I16" s="55"/>
      <c r="J16" s="55">
        <f t="shared" si="9"/>
        <v>1723</v>
      </c>
      <c r="K16" s="59">
        <v>0.1</v>
      </c>
      <c r="L16" s="55">
        <f>J16*K16</f>
        <v>172.3</v>
      </c>
      <c r="M16" s="55">
        <f t="shared" si="10"/>
        <v>1895.3</v>
      </c>
      <c r="N16" s="59"/>
      <c r="O16" s="55"/>
      <c r="P16" s="55"/>
      <c r="Q16" s="171"/>
      <c r="R16" s="59"/>
      <c r="S16" s="55"/>
      <c r="T16" s="55"/>
      <c r="U16" s="55">
        <v>1723</v>
      </c>
      <c r="V16" s="55"/>
      <c r="W16" s="73"/>
      <c r="X16" s="55"/>
      <c r="Y16" s="73"/>
      <c r="Z16" s="55"/>
      <c r="AA16" s="73"/>
      <c r="AB16" s="55"/>
      <c r="AC16" s="55">
        <v>2118.3</v>
      </c>
      <c r="AD16" s="55"/>
      <c r="AE16" s="55"/>
      <c r="AF16" s="87">
        <f t="shared" si="0"/>
        <v>5736.6</v>
      </c>
      <c r="AG16" s="208"/>
      <c r="AH16" s="55">
        <f>G16/E16*AG16</f>
        <v>0</v>
      </c>
      <c r="AI16" s="55">
        <f t="shared" si="11"/>
        <v>5736.6</v>
      </c>
      <c r="AJ16" s="55"/>
      <c r="AK16" s="55">
        <f t="shared" si="12"/>
        <v>0</v>
      </c>
      <c r="AL16" s="55">
        <f>AF16*18%-AK16</f>
        <v>1032.59</v>
      </c>
      <c r="AM16" s="55"/>
      <c r="AN16" s="87">
        <f t="shared" si="13"/>
        <v>1032.59</v>
      </c>
      <c r="AO16" s="55">
        <f t="shared" si="14"/>
        <v>0</v>
      </c>
      <c r="AP16" s="55">
        <f t="shared" si="15"/>
        <v>86.05</v>
      </c>
      <c r="AQ16" s="87">
        <f t="shared" si="21"/>
        <v>86.05</v>
      </c>
      <c r="AR16" s="87"/>
      <c r="AS16" s="55">
        <f t="shared" si="16"/>
        <v>57.37</v>
      </c>
      <c r="AT16" s="55">
        <f t="shared" si="17"/>
        <v>0</v>
      </c>
      <c r="AU16" s="55">
        <f t="shared" si="18"/>
        <v>1176.01</v>
      </c>
      <c r="AV16" s="87">
        <f t="shared" si="3"/>
        <v>1176.01</v>
      </c>
      <c r="AW16" s="55">
        <f t="shared" si="19"/>
        <v>0</v>
      </c>
      <c r="AX16" s="55">
        <v>0</v>
      </c>
      <c r="AY16" s="87">
        <f t="shared" si="4"/>
        <v>0</v>
      </c>
      <c r="AZ16" s="55"/>
      <c r="BA16" s="55">
        <f>AF16-AV16</f>
        <v>4560.59</v>
      </c>
      <c r="BB16" s="87">
        <f t="shared" si="5"/>
        <v>4560.59</v>
      </c>
      <c r="BC16" s="87">
        <f t="shared" si="1"/>
        <v>4560.59</v>
      </c>
      <c r="BD16" s="87">
        <f t="shared" si="2"/>
        <v>1262.05</v>
      </c>
      <c r="BE16" s="93"/>
    </row>
    <row r="17" spans="1:57" s="94" customFormat="1" ht="78.75" customHeight="1">
      <c r="A17" s="47">
        <v>10</v>
      </c>
      <c r="B17" s="170" t="s">
        <v>46</v>
      </c>
      <c r="C17" s="170">
        <v>0.5</v>
      </c>
      <c r="D17" s="170" t="s">
        <v>62</v>
      </c>
      <c r="E17" s="47">
        <v>22</v>
      </c>
      <c r="F17" s="47" t="s">
        <v>78</v>
      </c>
      <c r="G17" s="55">
        <v>689</v>
      </c>
      <c r="H17" s="55">
        <f>G17/22*E17</f>
        <v>689</v>
      </c>
      <c r="I17" s="55"/>
      <c r="J17" s="55">
        <f t="shared" si="9"/>
        <v>689</v>
      </c>
      <c r="K17" s="59"/>
      <c r="L17" s="55"/>
      <c r="M17" s="55">
        <f t="shared" si="10"/>
        <v>689</v>
      </c>
      <c r="N17" s="59"/>
      <c r="O17" s="55"/>
      <c r="P17" s="59">
        <v>0.1</v>
      </c>
      <c r="Q17" s="171">
        <f>J17*P17</f>
        <v>68.9</v>
      </c>
      <c r="R17" s="59"/>
      <c r="S17" s="55"/>
      <c r="T17" s="55"/>
      <c r="U17" s="55"/>
      <c r="V17" s="55">
        <v>689</v>
      </c>
      <c r="W17" s="73"/>
      <c r="X17" s="55"/>
      <c r="Y17" s="73"/>
      <c r="Z17" s="55"/>
      <c r="AA17" s="73"/>
      <c r="AB17" s="55"/>
      <c r="AC17" s="55"/>
      <c r="AD17" s="55"/>
      <c r="AE17" s="55"/>
      <c r="AF17" s="87">
        <f t="shared" si="0"/>
        <v>1446.9</v>
      </c>
      <c r="AG17" s="208"/>
      <c r="AH17" s="55">
        <f>G17/E17*AG17</f>
        <v>0</v>
      </c>
      <c r="AI17" s="55">
        <f t="shared" si="11"/>
        <v>1446.9</v>
      </c>
      <c r="AJ17" s="55">
        <f>1378*0.5</f>
        <v>689</v>
      </c>
      <c r="AK17" s="55">
        <f t="shared" si="12"/>
        <v>0</v>
      </c>
      <c r="AL17" s="55">
        <f>(AF17-AJ17)*18%-AK17</f>
        <v>136.42</v>
      </c>
      <c r="AM17" s="55"/>
      <c r="AN17" s="87">
        <f t="shared" si="13"/>
        <v>136.42</v>
      </c>
      <c r="AO17" s="55">
        <f t="shared" si="14"/>
        <v>0</v>
      </c>
      <c r="AP17" s="55">
        <f t="shared" si="15"/>
        <v>21.7</v>
      </c>
      <c r="AQ17" s="87">
        <f t="shared" si="21"/>
        <v>21.7</v>
      </c>
      <c r="AR17" s="87"/>
      <c r="AS17" s="55">
        <f t="shared" si="16"/>
        <v>14.47</v>
      </c>
      <c r="AT17" s="55">
        <f t="shared" si="17"/>
        <v>0</v>
      </c>
      <c r="AU17" s="55">
        <f t="shared" si="18"/>
        <v>172.59</v>
      </c>
      <c r="AV17" s="87">
        <f t="shared" si="3"/>
        <v>172.59</v>
      </c>
      <c r="AW17" s="55">
        <f t="shared" si="19"/>
        <v>0</v>
      </c>
      <c r="AX17" s="55">
        <f>AF17-(AV17+AW17)</f>
        <v>1274.31</v>
      </c>
      <c r="AY17" s="87">
        <f>SUM(AW17:AX17)</f>
        <v>1274.31</v>
      </c>
      <c r="AZ17" s="55"/>
      <c r="BA17" s="55"/>
      <c r="BB17" s="87">
        <f t="shared" si="5"/>
        <v>0</v>
      </c>
      <c r="BC17" s="87">
        <f t="shared" si="1"/>
        <v>1274.31</v>
      </c>
      <c r="BD17" s="87">
        <f t="shared" si="2"/>
        <v>318.32</v>
      </c>
      <c r="BE17" s="93"/>
    </row>
    <row r="18" spans="1:57" s="94" customFormat="1" ht="99.75" customHeight="1">
      <c r="A18" s="47">
        <v>11</v>
      </c>
      <c r="B18" s="170" t="s">
        <v>57</v>
      </c>
      <c r="C18" s="170">
        <v>1</v>
      </c>
      <c r="D18" s="170" t="s">
        <v>52</v>
      </c>
      <c r="E18" s="47">
        <v>22</v>
      </c>
      <c r="F18" s="47">
        <v>175</v>
      </c>
      <c r="G18" s="55">
        <v>1378</v>
      </c>
      <c r="H18" s="55">
        <f t="shared" si="20"/>
        <v>1378</v>
      </c>
      <c r="I18" s="55"/>
      <c r="J18" s="55">
        <f>H18</f>
        <v>1378</v>
      </c>
      <c r="K18" s="59"/>
      <c r="L18" s="55"/>
      <c r="M18" s="55">
        <f t="shared" si="10"/>
        <v>1378</v>
      </c>
      <c r="N18" s="55"/>
      <c r="O18" s="55"/>
      <c r="P18" s="59">
        <v>0.1</v>
      </c>
      <c r="Q18" s="171">
        <f>J18*P18</f>
        <v>137.8</v>
      </c>
      <c r="R18" s="59"/>
      <c r="S18" s="55"/>
      <c r="T18" s="55"/>
      <c r="U18" s="55"/>
      <c r="V18" s="55"/>
      <c r="W18" s="73"/>
      <c r="X18" s="55"/>
      <c r="Y18" s="73"/>
      <c r="Z18" s="55"/>
      <c r="AA18" s="73"/>
      <c r="AB18" s="55"/>
      <c r="AC18" s="55"/>
      <c r="AD18" s="55"/>
      <c r="AE18" s="55"/>
      <c r="AF18" s="87">
        <f t="shared" si="0"/>
        <v>1515.8</v>
      </c>
      <c r="AG18" s="208">
        <v>10</v>
      </c>
      <c r="AH18" s="55">
        <v>626.36</v>
      </c>
      <c r="AI18" s="55">
        <f t="shared" si="11"/>
        <v>889.44</v>
      </c>
      <c r="AJ18" s="55">
        <f>1378*0.5</f>
        <v>689</v>
      </c>
      <c r="AK18" s="55">
        <f>AH18*18%</f>
        <v>112.74</v>
      </c>
      <c r="AL18" s="55">
        <f>(AF18-AJ18)*18%-AK18</f>
        <v>36.08</v>
      </c>
      <c r="AM18" s="55"/>
      <c r="AN18" s="87">
        <f t="shared" si="13"/>
        <v>148.82</v>
      </c>
      <c r="AO18" s="55">
        <f t="shared" si="14"/>
        <v>9.4</v>
      </c>
      <c r="AP18" s="55">
        <f t="shared" si="15"/>
        <v>13.34</v>
      </c>
      <c r="AQ18" s="87">
        <f t="shared" si="21"/>
        <v>22.74</v>
      </c>
      <c r="AR18" s="87"/>
      <c r="AS18" s="55">
        <f t="shared" si="16"/>
        <v>15.16</v>
      </c>
      <c r="AT18" s="55">
        <f t="shared" si="17"/>
        <v>122.14</v>
      </c>
      <c r="AU18" s="55">
        <f>AL18+AM18+AP18+AS18</f>
        <v>64.58</v>
      </c>
      <c r="AV18" s="87">
        <f t="shared" si="3"/>
        <v>186.72</v>
      </c>
      <c r="AW18" s="55">
        <f t="shared" si="19"/>
        <v>504.22</v>
      </c>
      <c r="AX18" s="55">
        <f>AF18-(AV18+AW18)</f>
        <v>824.86</v>
      </c>
      <c r="AY18" s="87">
        <f t="shared" si="4"/>
        <v>1329.08</v>
      </c>
      <c r="AZ18" s="55"/>
      <c r="BA18" s="55"/>
      <c r="BB18" s="87">
        <f t="shared" si="5"/>
        <v>0</v>
      </c>
      <c r="BC18" s="87">
        <f t="shared" si="1"/>
        <v>1329.08</v>
      </c>
      <c r="BD18" s="87">
        <f t="shared" si="2"/>
        <v>333.48</v>
      </c>
      <c r="BE18" s="93"/>
    </row>
    <row r="19" spans="1:57" s="94" customFormat="1" ht="90" customHeight="1">
      <c r="A19" s="47">
        <v>12</v>
      </c>
      <c r="B19" s="170" t="s">
        <v>59</v>
      </c>
      <c r="C19" s="170">
        <v>1</v>
      </c>
      <c r="D19" s="170" t="s">
        <v>52</v>
      </c>
      <c r="E19" s="47">
        <v>22</v>
      </c>
      <c r="F19" s="47">
        <v>175</v>
      </c>
      <c r="G19" s="55">
        <v>1378</v>
      </c>
      <c r="H19" s="55">
        <f t="shared" si="20"/>
        <v>1378</v>
      </c>
      <c r="I19" s="55"/>
      <c r="J19" s="55">
        <f>H19</f>
        <v>1378</v>
      </c>
      <c r="K19" s="59"/>
      <c r="L19" s="55"/>
      <c r="M19" s="55">
        <f t="shared" si="10"/>
        <v>1378</v>
      </c>
      <c r="N19" s="55"/>
      <c r="O19" s="55"/>
      <c r="P19" s="59">
        <v>0.1</v>
      </c>
      <c r="Q19" s="171">
        <f>J19*P19</f>
        <v>137.8</v>
      </c>
      <c r="R19" s="59"/>
      <c r="S19" s="55"/>
      <c r="T19" s="55"/>
      <c r="U19" s="55"/>
      <c r="V19" s="55"/>
      <c r="W19" s="73"/>
      <c r="X19" s="55"/>
      <c r="Y19" s="73"/>
      <c r="Z19" s="55"/>
      <c r="AA19" s="73"/>
      <c r="AB19" s="55"/>
      <c r="AC19" s="55"/>
      <c r="AD19" s="55"/>
      <c r="AE19" s="55"/>
      <c r="AF19" s="87">
        <f t="shared" si="0"/>
        <v>1515.8</v>
      </c>
      <c r="AG19" s="208">
        <v>10</v>
      </c>
      <c r="AH19" s="55">
        <v>626.36</v>
      </c>
      <c r="AI19" s="55">
        <f t="shared" si="11"/>
        <v>889.44</v>
      </c>
      <c r="AJ19" s="55">
        <f>1378*0.75</f>
        <v>1033.5</v>
      </c>
      <c r="AK19" s="55">
        <f t="shared" si="12"/>
        <v>112.74</v>
      </c>
      <c r="AL19" s="55">
        <f>(AF19-AJ19)*18%-AK19</f>
        <v>-25.93</v>
      </c>
      <c r="AM19" s="55"/>
      <c r="AN19" s="87">
        <f>AK19+AL19</f>
        <v>86.81</v>
      </c>
      <c r="AO19" s="55">
        <f>AH19*1.5%</f>
        <v>9.4</v>
      </c>
      <c r="AP19" s="55">
        <f>AF19*1.5%-AO19</f>
        <v>13.34</v>
      </c>
      <c r="AQ19" s="87">
        <f>AO19+AP19</f>
        <v>22.74</v>
      </c>
      <c r="AR19" s="87"/>
      <c r="AS19" s="55">
        <f>AF19*1%</f>
        <v>15.16</v>
      </c>
      <c r="AT19" s="55">
        <f>AK19+AO19</f>
        <v>122.14</v>
      </c>
      <c r="AU19" s="55">
        <f>AL19+AM19+AP19+AS19</f>
        <v>2.57</v>
      </c>
      <c r="AV19" s="87">
        <f>AN19+AQ19+AS19</f>
        <v>124.71</v>
      </c>
      <c r="AW19" s="55">
        <f>AH19-(AK19+AO19)</f>
        <v>504.22</v>
      </c>
      <c r="AX19" s="55">
        <f>AF19-(AV19+AW19)</f>
        <v>886.87</v>
      </c>
      <c r="AY19" s="87">
        <f>SUM(AW19:AX19)</f>
        <v>1391.09</v>
      </c>
      <c r="AZ19" s="55"/>
      <c r="BA19" s="55"/>
      <c r="BB19" s="87">
        <f t="shared" si="5"/>
        <v>0</v>
      </c>
      <c r="BC19" s="87">
        <f t="shared" si="1"/>
        <v>1391.09</v>
      </c>
      <c r="BD19" s="87">
        <f t="shared" si="2"/>
        <v>333.48</v>
      </c>
      <c r="BE19" s="93"/>
    </row>
    <row r="20" spans="1:57" ht="78.75" customHeight="1">
      <c r="A20" s="12"/>
      <c r="B20" s="96" t="s">
        <v>12</v>
      </c>
      <c r="C20" s="96">
        <f>SUM(C13:C19)</f>
        <v>6.5</v>
      </c>
      <c r="D20" s="96"/>
      <c r="E20" s="63"/>
      <c r="F20" s="64">
        <f>SUM(F12:F19)+175</f>
        <v>1217</v>
      </c>
      <c r="G20" s="61">
        <f aca="true" t="shared" si="22" ref="G20:AF20">SUM(G12:G19)</f>
        <v>12060</v>
      </c>
      <c r="H20" s="61">
        <f t="shared" si="22"/>
        <v>10258.68</v>
      </c>
      <c r="I20" s="61">
        <f t="shared" si="22"/>
        <v>0</v>
      </c>
      <c r="J20" s="61">
        <f t="shared" si="22"/>
        <v>10258.68</v>
      </c>
      <c r="K20" s="61"/>
      <c r="L20" s="61">
        <f t="shared" si="22"/>
        <v>939.82</v>
      </c>
      <c r="M20" s="61">
        <f t="shared" si="22"/>
        <v>11198.5</v>
      </c>
      <c r="N20" s="61"/>
      <c r="O20" s="61">
        <f t="shared" si="22"/>
        <v>861.5</v>
      </c>
      <c r="P20" s="61">
        <f t="shared" si="22"/>
        <v>0.3</v>
      </c>
      <c r="Q20" s="61">
        <f t="shared" si="22"/>
        <v>344.5</v>
      </c>
      <c r="R20" s="61"/>
      <c r="S20" s="61">
        <f t="shared" si="22"/>
        <v>861.5</v>
      </c>
      <c r="T20" s="61">
        <f t="shared" si="22"/>
        <v>861.5</v>
      </c>
      <c r="U20" s="61">
        <f t="shared" si="22"/>
        <v>1723</v>
      </c>
      <c r="V20" s="61">
        <f t="shared" si="22"/>
        <v>689</v>
      </c>
      <c r="W20" s="61">
        <f t="shared" si="22"/>
        <v>0</v>
      </c>
      <c r="X20" s="61">
        <f t="shared" si="22"/>
        <v>0</v>
      </c>
      <c r="Y20" s="61">
        <f t="shared" si="22"/>
        <v>0</v>
      </c>
      <c r="Z20" s="61">
        <f t="shared" si="22"/>
        <v>0</v>
      </c>
      <c r="AA20" s="61">
        <f t="shared" si="22"/>
        <v>0</v>
      </c>
      <c r="AB20" s="61">
        <f t="shared" si="22"/>
        <v>0</v>
      </c>
      <c r="AC20" s="61">
        <f t="shared" si="22"/>
        <v>8631.62</v>
      </c>
      <c r="AD20" s="61">
        <f t="shared" si="22"/>
        <v>0</v>
      </c>
      <c r="AE20" s="61">
        <f t="shared" si="22"/>
        <v>0</v>
      </c>
      <c r="AF20" s="61">
        <f t="shared" si="22"/>
        <v>25171.12</v>
      </c>
      <c r="AG20" s="76"/>
      <c r="AH20" s="75">
        <f aca="true" t="shared" si="23" ref="AH20:AX20">SUM(AH12:AH19)</f>
        <v>2505.44</v>
      </c>
      <c r="AI20" s="75">
        <f t="shared" si="23"/>
        <v>22770.81</v>
      </c>
      <c r="AJ20" s="75">
        <f t="shared" si="23"/>
        <v>2411.5</v>
      </c>
      <c r="AK20" s="75">
        <f t="shared" si="23"/>
        <v>450.96</v>
      </c>
      <c r="AL20" s="75">
        <f t="shared" si="23"/>
        <v>3645.76</v>
      </c>
      <c r="AM20" s="75">
        <f t="shared" si="23"/>
        <v>0</v>
      </c>
      <c r="AN20" s="75">
        <f t="shared" si="23"/>
        <v>4096.72</v>
      </c>
      <c r="AO20" s="75">
        <f t="shared" si="23"/>
        <v>37.6</v>
      </c>
      <c r="AP20" s="75">
        <f t="shared" si="23"/>
        <v>339.96</v>
      </c>
      <c r="AQ20" s="75">
        <f t="shared" si="23"/>
        <v>377.56</v>
      </c>
      <c r="AR20" s="75"/>
      <c r="AS20" s="75">
        <f t="shared" si="23"/>
        <v>251.72</v>
      </c>
      <c r="AT20" s="75">
        <f t="shared" si="23"/>
        <v>488.56</v>
      </c>
      <c r="AU20" s="75">
        <f t="shared" si="23"/>
        <v>4237.44</v>
      </c>
      <c r="AV20" s="75">
        <f t="shared" si="23"/>
        <v>4726</v>
      </c>
      <c r="AW20" s="75">
        <f t="shared" si="23"/>
        <v>2016.88</v>
      </c>
      <c r="AX20" s="75">
        <f t="shared" si="23"/>
        <v>10007.13</v>
      </c>
      <c r="AY20" s="61">
        <f t="shared" si="4"/>
        <v>12024.01</v>
      </c>
      <c r="AZ20" s="75">
        <f>SUM(AZ12:AZ19)</f>
        <v>0</v>
      </c>
      <c r="BA20" s="75">
        <f>SUM(BA12:BA19)</f>
        <v>8421.11</v>
      </c>
      <c r="BB20" s="61">
        <f t="shared" si="5"/>
        <v>8421.11</v>
      </c>
      <c r="BC20" s="61">
        <f t="shared" si="1"/>
        <v>20445.12</v>
      </c>
      <c r="BD20" s="79">
        <f t="shared" si="2"/>
        <v>5537.65</v>
      </c>
      <c r="BE20" s="89"/>
    </row>
    <row r="21" spans="1:57" ht="78.75" customHeight="1">
      <c r="A21" s="12"/>
      <c r="B21" s="96" t="s">
        <v>3</v>
      </c>
      <c r="C21" s="96">
        <f>C20+C11</f>
        <v>10.5</v>
      </c>
      <c r="D21" s="96"/>
      <c r="E21" s="64"/>
      <c r="F21" s="64">
        <f>F20+F11</f>
        <v>1917</v>
      </c>
      <c r="G21" s="61">
        <f>G20+G11</f>
        <v>21090</v>
      </c>
      <c r="H21" s="61">
        <f>H11+H20</f>
        <v>19288.68</v>
      </c>
      <c r="I21" s="33">
        <f>I20+I11</f>
        <v>290</v>
      </c>
      <c r="J21" s="33">
        <f>J20+J11</f>
        <v>19578.68</v>
      </c>
      <c r="K21" s="41"/>
      <c r="L21" s="33">
        <f>L20+L11</f>
        <v>2669.82</v>
      </c>
      <c r="M21" s="33">
        <f>M20+M11</f>
        <v>22248.5</v>
      </c>
      <c r="N21" s="33"/>
      <c r="O21" s="33">
        <f>O20+O11</f>
        <v>861.5</v>
      </c>
      <c r="P21" s="33"/>
      <c r="Q21" s="33">
        <f>Q20+Q11</f>
        <v>344.5</v>
      </c>
      <c r="R21" s="33"/>
      <c r="S21" s="33">
        <f aca="true" t="shared" si="24" ref="S21:AE21">S20+S11</f>
        <v>8168.5</v>
      </c>
      <c r="T21" s="33">
        <f t="shared" si="24"/>
        <v>861.5</v>
      </c>
      <c r="U21" s="33">
        <f t="shared" si="24"/>
        <v>1723</v>
      </c>
      <c r="V21" s="33">
        <f t="shared" si="24"/>
        <v>689</v>
      </c>
      <c r="W21" s="34">
        <f t="shared" si="24"/>
        <v>0</v>
      </c>
      <c r="X21" s="33">
        <f t="shared" si="24"/>
        <v>0</v>
      </c>
      <c r="Y21" s="34">
        <f t="shared" si="24"/>
        <v>0</v>
      </c>
      <c r="Z21" s="33">
        <f t="shared" si="24"/>
        <v>0</v>
      </c>
      <c r="AA21" s="33">
        <f t="shared" si="24"/>
        <v>0</v>
      </c>
      <c r="AB21" s="33">
        <f t="shared" si="24"/>
        <v>0</v>
      </c>
      <c r="AC21" s="33">
        <f t="shared" si="24"/>
        <v>12040.57</v>
      </c>
      <c r="AD21" s="33">
        <f t="shared" si="24"/>
        <v>0</v>
      </c>
      <c r="AE21" s="33">
        <f t="shared" si="24"/>
        <v>1000</v>
      </c>
      <c r="AF21" s="75">
        <f>AB21+Z21+X21+V21+S21+Q21+O21+M21+T21+AC21+AE21+U21+AD21</f>
        <v>47937.07</v>
      </c>
      <c r="AG21" s="79"/>
      <c r="AH21" s="33">
        <f>AH20+AH11</f>
        <v>5324.07</v>
      </c>
      <c r="AI21" s="33">
        <f>AF21-AH21</f>
        <v>42613</v>
      </c>
      <c r="AJ21" s="33">
        <f aca="true" t="shared" si="25" ref="AJ21:AX21">AJ20+AJ11</f>
        <v>2411.5</v>
      </c>
      <c r="AK21" s="33">
        <f t="shared" si="25"/>
        <v>958.3</v>
      </c>
      <c r="AL21" s="33">
        <f t="shared" si="25"/>
        <v>7236.29</v>
      </c>
      <c r="AM21" s="33">
        <f t="shared" si="25"/>
        <v>0</v>
      </c>
      <c r="AN21" s="33">
        <f t="shared" si="25"/>
        <v>8194.59</v>
      </c>
      <c r="AO21" s="33">
        <f t="shared" si="25"/>
        <v>79.88</v>
      </c>
      <c r="AP21" s="33">
        <f t="shared" si="25"/>
        <v>639.17</v>
      </c>
      <c r="AQ21" s="33">
        <f t="shared" si="25"/>
        <v>719.05</v>
      </c>
      <c r="AR21" s="33"/>
      <c r="AS21" s="33">
        <f t="shared" si="25"/>
        <v>479.38</v>
      </c>
      <c r="AT21" s="33">
        <f t="shared" si="25"/>
        <v>1038.18</v>
      </c>
      <c r="AU21" s="33">
        <f t="shared" si="25"/>
        <v>8354.84</v>
      </c>
      <c r="AV21" s="33">
        <f t="shared" si="25"/>
        <v>9393.02</v>
      </c>
      <c r="AW21" s="33">
        <f t="shared" si="25"/>
        <v>4285.89</v>
      </c>
      <c r="AX21" s="33">
        <f t="shared" si="25"/>
        <v>25837.05</v>
      </c>
      <c r="AY21" s="61">
        <f>SUM(AW21:AX21)</f>
        <v>30122.94</v>
      </c>
      <c r="AZ21" s="33">
        <f>AZ20+AZ11</f>
        <v>0</v>
      </c>
      <c r="BA21" s="33">
        <f>BA20+BA11</f>
        <v>8421.11</v>
      </c>
      <c r="BB21" s="61">
        <f t="shared" si="5"/>
        <v>8421.11</v>
      </c>
      <c r="BC21" s="61">
        <f t="shared" si="1"/>
        <v>38544.05</v>
      </c>
      <c r="BD21" s="79">
        <f t="shared" si="2"/>
        <v>10546.16</v>
      </c>
      <c r="BE21" s="89"/>
    </row>
    <row r="22" spans="1:57" ht="72.75" customHeight="1">
      <c r="A22" s="12"/>
      <c r="B22" s="4"/>
      <c r="C22" s="4"/>
      <c r="D22" s="4"/>
      <c r="E22" s="63"/>
      <c r="F22" s="63"/>
      <c r="G22" s="16"/>
      <c r="H22" s="60"/>
      <c r="I22" s="17"/>
      <c r="J22" s="17"/>
      <c r="K22" s="18"/>
      <c r="L22" s="16"/>
      <c r="M22" s="16"/>
      <c r="N22" s="59"/>
      <c r="O22" s="16"/>
      <c r="P22" s="16"/>
      <c r="Q22" s="19"/>
      <c r="R22" s="18"/>
      <c r="S22" s="16"/>
      <c r="T22" s="17"/>
      <c r="U22" s="17"/>
      <c r="V22" s="17"/>
      <c r="W22" s="72"/>
      <c r="X22" s="17"/>
      <c r="Y22" s="74"/>
      <c r="Z22" s="16"/>
      <c r="AA22" s="74"/>
      <c r="AB22" s="16"/>
      <c r="AC22" s="16"/>
      <c r="AD22" s="16"/>
      <c r="AE22" s="36"/>
      <c r="AF22" s="75">
        <v>48177.55</v>
      </c>
      <c r="AG22" s="76"/>
      <c r="AH22" s="36"/>
      <c r="AI22" s="17"/>
      <c r="AJ22" s="16"/>
      <c r="AK22" s="16"/>
      <c r="AL22" s="16"/>
      <c r="AM22" s="16"/>
      <c r="AN22" s="77"/>
      <c r="AO22" s="16"/>
      <c r="AP22" s="16"/>
      <c r="AQ22" s="77"/>
      <c r="AR22" s="77"/>
      <c r="AS22" s="16"/>
      <c r="AT22" s="16"/>
      <c r="AU22" s="16"/>
      <c r="AV22" s="77"/>
      <c r="AW22" s="36"/>
      <c r="AX22" s="36"/>
      <c r="AY22" s="61"/>
      <c r="AZ22" s="78"/>
      <c r="BA22" s="36"/>
      <c r="BB22" s="61"/>
      <c r="BC22" s="61"/>
      <c r="BD22" s="79"/>
      <c r="BE22" s="89"/>
    </row>
    <row r="23" spans="1:57" ht="54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9"/>
      <c r="U23" s="9"/>
      <c r="V23" s="9"/>
      <c r="W23" s="9"/>
      <c r="X23" s="9"/>
      <c r="Y23" s="12"/>
      <c r="Z23" s="12"/>
      <c r="AA23" s="12"/>
      <c r="AB23" s="12"/>
      <c r="AC23" s="12"/>
      <c r="AD23" s="12"/>
      <c r="AE23" s="12"/>
      <c r="AF23" s="79">
        <v>240.48</v>
      </c>
      <c r="AG23" s="79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6"/>
      <c r="AY23" s="16"/>
      <c r="AZ23" s="12"/>
      <c r="BA23" s="81"/>
      <c r="BB23" s="16"/>
      <c r="BC23" s="16"/>
      <c r="BD23" s="79">
        <f>BD22+BD21</f>
        <v>10546.16</v>
      </c>
      <c r="BE23" s="89"/>
    </row>
    <row r="24" spans="20:57" ht="54" customHeight="1">
      <c r="T24" s="94"/>
      <c r="U24" s="94"/>
      <c r="V24" s="94"/>
      <c r="W24" s="94"/>
      <c r="X24" s="94"/>
      <c r="AF24" s="98">
        <f>AF22-AF23</f>
        <v>47937.07</v>
      </c>
      <c r="BE24" s="89"/>
    </row>
    <row r="25" spans="20:57" ht="54" customHeight="1">
      <c r="T25" s="94"/>
      <c r="U25" s="94"/>
      <c r="V25" s="94"/>
      <c r="W25" s="94"/>
      <c r="X25" s="94"/>
      <c r="BE25" s="89"/>
    </row>
    <row r="26" spans="20:57" ht="54" customHeight="1">
      <c r="T26" s="94"/>
      <c r="U26" s="94"/>
      <c r="V26" s="94"/>
      <c r="W26" s="94"/>
      <c r="X26" s="94"/>
      <c r="BE26" s="89"/>
    </row>
    <row r="27" spans="20:57" ht="54" customHeight="1">
      <c r="T27" s="94"/>
      <c r="U27" s="94"/>
      <c r="V27" s="94"/>
      <c r="W27" s="94"/>
      <c r="X27" s="94"/>
      <c r="BE27" s="89"/>
    </row>
    <row r="28" spans="20:57" ht="54" customHeight="1">
      <c r="T28" s="94"/>
      <c r="U28" s="94"/>
      <c r="V28" s="94"/>
      <c r="W28" s="94"/>
      <c r="X28" s="94"/>
      <c r="BE28" s="89"/>
    </row>
    <row r="29" spans="20:57" ht="54" customHeight="1">
      <c r="T29" s="94"/>
      <c r="U29" s="94"/>
      <c r="V29" s="94"/>
      <c r="W29" s="94"/>
      <c r="X29" s="94"/>
      <c r="BE29" s="89"/>
    </row>
    <row r="30" spans="20:57" ht="54" customHeight="1">
      <c r="T30" s="94"/>
      <c r="U30" s="94"/>
      <c r="V30" s="94"/>
      <c r="W30" s="94"/>
      <c r="X30" s="94"/>
      <c r="BE30" s="89"/>
    </row>
    <row r="31" spans="20:57" ht="54" customHeight="1">
      <c r="T31" s="94"/>
      <c r="U31" s="94"/>
      <c r="V31" s="94"/>
      <c r="W31" s="94"/>
      <c r="X31" s="94"/>
      <c r="BE31" s="89"/>
    </row>
    <row r="32" spans="20:57" ht="54" customHeight="1">
      <c r="T32" s="94"/>
      <c r="U32" s="94"/>
      <c r="V32" s="94"/>
      <c r="W32" s="94"/>
      <c r="X32" s="94"/>
      <c r="BE32" s="89"/>
    </row>
    <row r="33" spans="20:57" ht="54" customHeight="1">
      <c r="T33" s="94"/>
      <c r="U33" s="94"/>
      <c r="V33" s="94"/>
      <c r="W33" s="94"/>
      <c r="X33" s="94"/>
      <c r="BE33" s="89"/>
    </row>
    <row r="34" spans="20:57" ht="54" customHeight="1">
      <c r="T34" s="94"/>
      <c r="U34" s="94"/>
      <c r="V34" s="94"/>
      <c r="W34" s="94"/>
      <c r="X34" s="94"/>
      <c r="BE34" s="89"/>
    </row>
    <row r="35" spans="20:57" ht="54" customHeight="1">
      <c r="T35" s="94"/>
      <c r="U35" s="94"/>
      <c r="V35" s="94"/>
      <c r="W35" s="94"/>
      <c r="X35" s="94"/>
      <c r="BE35" s="89"/>
    </row>
    <row r="36" spans="20:57" ht="54" customHeight="1">
      <c r="T36" s="94"/>
      <c r="U36" s="94"/>
      <c r="V36" s="94"/>
      <c r="W36" s="94"/>
      <c r="X36" s="94"/>
      <c r="BE36" s="89"/>
    </row>
    <row r="37" spans="20:24" ht="54" customHeight="1">
      <c r="T37" s="94"/>
      <c r="U37" s="94"/>
      <c r="V37" s="94"/>
      <c r="W37" s="94"/>
      <c r="X37" s="94"/>
    </row>
    <row r="38" spans="20:24" ht="54" customHeight="1">
      <c r="T38" s="94"/>
      <c r="U38" s="94"/>
      <c r="V38" s="94"/>
      <c r="W38" s="94"/>
      <c r="X38" s="94"/>
    </row>
    <row r="39" spans="20:24" ht="54" customHeight="1">
      <c r="T39" s="94"/>
      <c r="U39" s="94"/>
      <c r="V39" s="94"/>
      <c r="W39" s="94"/>
      <c r="X39" s="94"/>
    </row>
  </sheetData>
  <sheetProtection/>
  <mergeCells count="51">
    <mergeCell ref="AE4:AE6"/>
    <mergeCell ref="AH4:AH6"/>
    <mergeCell ref="AC4:AC6"/>
    <mergeCell ref="AW4:BB4"/>
    <mergeCell ref="BB5:BB6"/>
    <mergeCell ref="W5:X5"/>
    <mergeCell ref="W4:Z4"/>
    <mergeCell ref="V4:V6"/>
    <mergeCell ref="Y5:Z5"/>
    <mergeCell ref="AJ4:AV4"/>
    <mergeCell ref="AZ5:BA5"/>
    <mergeCell ref="AT5:AV5"/>
    <mergeCell ref="AW5:AX5"/>
    <mergeCell ref="AA4:AB5"/>
    <mergeCell ref="AD4:AD6"/>
    <mergeCell ref="AR5:AR6"/>
    <mergeCell ref="AI4:AI6"/>
    <mergeCell ref="BD4:BD6"/>
    <mergeCell ref="AJ5:AJ6"/>
    <mergeCell ref="AK5:AL5"/>
    <mergeCell ref="AM5:AM6"/>
    <mergeCell ref="AN5:AN6"/>
    <mergeCell ref="A1:Z1"/>
    <mergeCell ref="AF1:BB1"/>
    <mergeCell ref="A2:Z3"/>
    <mergeCell ref="AF2:BB3"/>
    <mergeCell ref="A4:A6"/>
    <mergeCell ref="B4:B6"/>
    <mergeCell ref="C4:C6"/>
    <mergeCell ref="D4:D6"/>
    <mergeCell ref="E4:E6"/>
    <mergeCell ref="F4:F6"/>
    <mergeCell ref="P5:Q5"/>
    <mergeCell ref="N5:O5"/>
    <mergeCell ref="J4:J6"/>
    <mergeCell ref="BC4:BC6"/>
    <mergeCell ref="AF4:AF6"/>
    <mergeCell ref="AG4:AG6"/>
    <mergeCell ref="AQ5:AQ6"/>
    <mergeCell ref="AS5:AS6"/>
    <mergeCell ref="G4:G6"/>
    <mergeCell ref="H4:H6"/>
    <mergeCell ref="I4:I6"/>
    <mergeCell ref="AY5:AY6"/>
    <mergeCell ref="AO5:AP5"/>
    <mergeCell ref="R4:S5"/>
    <mergeCell ref="T4:T6"/>
    <mergeCell ref="U4:U6"/>
    <mergeCell ref="K4:L5"/>
    <mergeCell ref="M4:M6"/>
    <mergeCell ref="N4:Q4"/>
  </mergeCells>
  <printOptions/>
  <pageMargins left="0" right="0" top="0.15748031496062992" bottom="0.15748031496062992" header="0.31496062992125984" footer="0.31496062992125984"/>
  <pageSetup fitToWidth="2" horizontalDpi="600" verticalDpi="600" orientation="landscape" paperSize="9" scale="18" r:id="rId2"/>
  <colBreaks count="1" manualBreakCount="1">
    <brk id="3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41"/>
  <sheetViews>
    <sheetView view="pageBreakPreview" zoomScale="30" zoomScaleNormal="60" zoomScaleSheetLayoutView="30" zoomScalePageLayoutView="0" workbookViewId="0" topLeftCell="A1">
      <selection activeCell="AK7" sqref="AK7"/>
    </sheetView>
  </sheetViews>
  <sheetFormatPr defaultColWidth="15.7109375" defaultRowHeight="74.25" customHeight="1"/>
  <cols>
    <col min="1" max="1" width="10.28125" style="100" customWidth="1"/>
    <col min="2" max="2" width="49.140625" style="100" customWidth="1"/>
    <col min="3" max="3" width="15.28125" style="100" customWidth="1"/>
    <col min="4" max="4" width="50.140625" style="100" customWidth="1"/>
    <col min="5" max="5" width="21.00390625" style="100" customWidth="1"/>
    <col min="6" max="6" width="19.7109375" style="100" customWidth="1"/>
    <col min="7" max="7" width="37.8515625" style="100" hidden="1" customWidth="1"/>
    <col min="8" max="8" width="35.00390625" style="100" hidden="1" customWidth="1"/>
    <col min="9" max="9" width="24.00390625" style="100" hidden="1" customWidth="1"/>
    <col min="10" max="10" width="27.140625" style="100" hidden="1" customWidth="1"/>
    <col min="11" max="11" width="19.00390625" style="100" hidden="1" customWidth="1"/>
    <col min="12" max="12" width="22.8515625" style="100" hidden="1" customWidth="1"/>
    <col min="13" max="13" width="25.421875" style="100" hidden="1" customWidth="1"/>
    <col min="14" max="14" width="15.7109375" style="100" hidden="1" customWidth="1"/>
    <col min="15" max="15" width="26.8515625" style="100" hidden="1" customWidth="1"/>
    <col min="16" max="16" width="18.28125" style="100" hidden="1" customWidth="1"/>
    <col min="17" max="17" width="22.28125" style="100" hidden="1" customWidth="1"/>
    <col min="18" max="18" width="18.00390625" style="100" hidden="1" customWidth="1"/>
    <col min="19" max="19" width="28.140625" style="100" hidden="1" customWidth="1"/>
    <col min="20" max="20" width="20.421875" style="100" hidden="1" customWidth="1"/>
    <col min="21" max="21" width="25.8515625" style="100" hidden="1" customWidth="1"/>
    <col min="22" max="22" width="23.57421875" style="100" hidden="1" customWidth="1"/>
    <col min="23" max="23" width="15.7109375" style="100" hidden="1" customWidth="1"/>
    <col min="24" max="24" width="22.421875" style="100" hidden="1" customWidth="1"/>
    <col min="25" max="25" width="15.7109375" style="100" hidden="1" customWidth="1"/>
    <col min="26" max="26" width="23.140625" style="100" hidden="1" customWidth="1"/>
    <col min="27" max="27" width="15.7109375" style="100" hidden="1" customWidth="1"/>
    <col min="28" max="28" width="24.00390625" style="100" hidden="1" customWidth="1"/>
    <col min="29" max="29" width="25.00390625" style="100" hidden="1" customWidth="1"/>
    <col min="30" max="30" width="24.28125" style="100" hidden="1" customWidth="1"/>
    <col min="31" max="31" width="23.7109375" style="100" hidden="1" customWidth="1"/>
    <col min="32" max="32" width="39.57421875" style="153" customWidth="1"/>
    <col min="33" max="33" width="31.7109375" style="153" customWidth="1"/>
    <col min="34" max="36" width="31.7109375" style="100" customWidth="1"/>
    <col min="37" max="37" width="41.7109375" style="100" customWidth="1"/>
    <col min="38" max="47" width="31.7109375" style="100" customWidth="1"/>
    <col min="48" max="48" width="34.7109375" style="100" customWidth="1"/>
    <col min="49" max="49" width="37.00390625" style="100" customWidth="1"/>
    <col min="50" max="50" width="33.28125" style="100" customWidth="1"/>
    <col min="51" max="51" width="35.57421875" style="100" customWidth="1"/>
    <col min="52" max="52" width="28.421875" style="100" customWidth="1"/>
    <col min="53" max="53" width="28.421875" style="153" customWidth="1"/>
    <col min="54" max="54" width="31.28125" style="100" customWidth="1"/>
    <col min="55" max="56" width="38.00390625" style="100" customWidth="1"/>
    <col min="57" max="16384" width="15.7109375" style="100" customWidth="1"/>
  </cols>
  <sheetData>
    <row r="1" spans="1:58" ht="74.25" customHeight="1">
      <c r="A1" s="379" t="s">
        <v>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9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99"/>
      <c r="BD1" s="99"/>
      <c r="BE1" s="99"/>
      <c r="BF1" s="99"/>
    </row>
    <row r="2" spans="1:58" ht="74.25" customHeight="1">
      <c r="A2" s="155" t="s">
        <v>96</v>
      </c>
      <c r="B2" s="155"/>
      <c r="C2" s="155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6"/>
      <c r="AC2" s="156"/>
      <c r="AD2" s="156"/>
      <c r="AE2" s="156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4"/>
      <c r="BD2" s="154"/>
      <c r="BE2" s="99"/>
      <c r="BF2" s="99"/>
    </row>
    <row r="3" spans="1:56" ht="74.25" customHeight="1">
      <c r="A3" s="380" t="s">
        <v>0</v>
      </c>
      <c r="B3" s="380" t="s">
        <v>40</v>
      </c>
      <c r="C3" s="381" t="s">
        <v>53</v>
      </c>
      <c r="D3" s="380" t="s">
        <v>21</v>
      </c>
      <c r="E3" s="380" t="s">
        <v>1</v>
      </c>
      <c r="F3" s="380" t="s">
        <v>2</v>
      </c>
      <c r="G3" s="384" t="s">
        <v>65</v>
      </c>
      <c r="H3" s="384" t="s">
        <v>66</v>
      </c>
      <c r="I3" s="387" t="s">
        <v>7</v>
      </c>
      <c r="J3" s="387" t="s">
        <v>6</v>
      </c>
      <c r="K3" s="388" t="s">
        <v>8</v>
      </c>
      <c r="L3" s="389"/>
      <c r="M3" s="387" t="s">
        <v>6</v>
      </c>
      <c r="N3" s="388" t="s">
        <v>9</v>
      </c>
      <c r="O3" s="392"/>
      <c r="P3" s="392"/>
      <c r="Q3" s="392"/>
      <c r="R3" s="388" t="s">
        <v>10</v>
      </c>
      <c r="S3" s="389"/>
      <c r="T3" s="393" t="s">
        <v>99</v>
      </c>
      <c r="U3" s="396" t="s">
        <v>80</v>
      </c>
      <c r="V3" s="399" t="s">
        <v>47</v>
      </c>
      <c r="W3" s="388" t="s">
        <v>26</v>
      </c>
      <c r="X3" s="392"/>
      <c r="Y3" s="392"/>
      <c r="Z3" s="389"/>
      <c r="AA3" s="388" t="s">
        <v>30</v>
      </c>
      <c r="AB3" s="389"/>
      <c r="AC3" s="381" t="s">
        <v>98</v>
      </c>
      <c r="AD3" s="406" t="s">
        <v>55</v>
      </c>
      <c r="AE3" s="381" t="s">
        <v>77</v>
      </c>
      <c r="AF3" s="409" t="s">
        <v>13</v>
      </c>
      <c r="AG3" s="410" t="s">
        <v>68</v>
      </c>
      <c r="AH3" s="411" t="s">
        <v>31</v>
      </c>
      <c r="AI3" s="414" t="s">
        <v>32</v>
      </c>
      <c r="AJ3" s="417" t="s">
        <v>72</v>
      </c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8" t="s">
        <v>18</v>
      </c>
      <c r="AX3" s="419"/>
      <c r="AY3" s="419"/>
      <c r="AZ3" s="419"/>
      <c r="BA3" s="419"/>
      <c r="BB3" s="420"/>
      <c r="BC3" s="421" t="s">
        <v>73</v>
      </c>
      <c r="BD3" s="411" t="s">
        <v>84</v>
      </c>
    </row>
    <row r="4" spans="1:56" ht="74.25" customHeight="1">
      <c r="A4" s="380"/>
      <c r="B4" s="380"/>
      <c r="C4" s="382"/>
      <c r="D4" s="380"/>
      <c r="E4" s="380"/>
      <c r="F4" s="380"/>
      <c r="G4" s="385"/>
      <c r="H4" s="385"/>
      <c r="I4" s="387"/>
      <c r="J4" s="387"/>
      <c r="K4" s="390"/>
      <c r="L4" s="391"/>
      <c r="M4" s="387"/>
      <c r="N4" s="380" t="s">
        <v>24</v>
      </c>
      <c r="O4" s="380"/>
      <c r="P4" s="380" t="s">
        <v>25</v>
      </c>
      <c r="Q4" s="380"/>
      <c r="R4" s="390"/>
      <c r="S4" s="391"/>
      <c r="T4" s="394"/>
      <c r="U4" s="397"/>
      <c r="V4" s="400"/>
      <c r="W4" s="402" t="s">
        <v>28</v>
      </c>
      <c r="X4" s="403"/>
      <c r="Y4" s="402" t="s">
        <v>29</v>
      </c>
      <c r="Z4" s="403"/>
      <c r="AA4" s="404"/>
      <c r="AB4" s="405"/>
      <c r="AC4" s="382"/>
      <c r="AD4" s="407"/>
      <c r="AE4" s="382"/>
      <c r="AF4" s="409"/>
      <c r="AG4" s="410"/>
      <c r="AH4" s="412"/>
      <c r="AI4" s="415"/>
      <c r="AJ4" s="424" t="s">
        <v>64</v>
      </c>
      <c r="AK4" s="402" t="s">
        <v>54</v>
      </c>
      <c r="AL4" s="403"/>
      <c r="AM4" s="381" t="s">
        <v>63</v>
      </c>
      <c r="AN4" s="381" t="s">
        <v>51</v>
      </c>
      <c r="AO4" s="388" t="s">
        <v>69</v>
      </c>
      <c r="AP4" s="389"/>
      <c r="AQ4" s="384" t="s">
        <v>70</v>
      </c>
      <c r="AR4" s="384" t="s">
        <v>83</v>
      </c>
      <c r="AS4" s="384" t="s">
        <v>71</v>
      </c>
      <c r="AT4" s="430" t="s">
        <v>17</v>
      </c>
      <c r="AU4" s="431"/>
      <c r="AV4" s="432"/>
      <c r="AW4" s="418" t="s">
        <v>19</v>
      </c>
      <c r="AX4" s="420"/>
      <c r="AY4" s="426" t="s">
        <v>33</v>
      </c>
      <c r="AZ4" s="418" t="s">
        <v>20</v>
      </c>
      <c r="BA4" s="420"/>
      <c r="BB4" s="428" t="s">
        <v>33</v>
      </c>
      <c r="BC4" s="422"/>
      <c r="BD4" s="412"/>
    </row>
    <row r="5" spans="1:56" ht="74.25" customHeight="1">
      <c r="A5" s="380"/>
      <c r="B5" s="380"/>
      <c r="C5" s="383"/>
      <c r="D5" s="380"/>
      <c r="E5" s="380"/>
      <c r="F5" s="380"/>
      <c r="G5" s="386"/>
      <c r="H5" s="386"/>
      <c r="I5" s="387"/>
      <c r="J5" s="387"/>
      <c r="K5" s="103" t="s">
        <v>22</v>
      </c>
      <c r="L5" s="101" t="s">
        <v>23</v>
      </c>
      <c r="M5" s="387"/>
      <c r="N5" s="103" t="s">
        <v>22</v>
      </c>
      <c r="O5" s="101" t="s">
        <v>23</v>
      </c>
      <c r="P5" s="109" t="s">
        <v>22</v>
      </c>
      <c r="Q5" s="109" t="s">
        <v>23</v>
      </c>
      <c r="R5" s="103" t="s">
        <v>22</v>
      </c>
      <c r="S5" s="101" t="s">
        <v>23</v>
      </c>
      <c r="T5" s="395"/>
      <c r="U5" s="398"/>
      <c r="V5" s="401"/>
      <c r="W5" s="110" t="s">
        <v>27</v>
      </c>
      <c r="X5" s="110" t="s">
        <v>23</v>
      </c>
      <c r="Y5" s="111" t="s">
        <v>27</v>
      </c>
      <c r="Z5" s="110" t="s">
        <v>23</v>
      </c>
      <c r="AA5" s="110" t="s">
        <v>27</v>
      </c>
      <c r="AB5" s="110" t="s">
        <v>23</v>
      </c>
      <c r="AC5" s="383"/>
      <c r="AD5" s="408"/>
      <c r="AE5" s="383"/>
      <c r="AF5" s="409"/>
      <c r="AG5" s="410"/>
      <c r="AH5" s="413"/>
      <c r="AI5" s="416"/>
      <c r="AJ5" s="425"/>
      <c r="AK5" s="101" t="s">
        <v>15</v>
      </c>
      <c r="AL5" s="101" t="s">
        <v>16</v>
      </c>
      <c r="AM5" s="383"/>
      <c r="AN5" s="383"/>
      <c r="AO5" s="102" t="s">
        <v>15</v>
      </c>
      <c r="AP5" s="101" t="s">
        <v>16</v>
      </c>
      <c r="AQ5" s="386"/>
      <c r="AR5" s="386"/>
      <c r="AS5" s="386"/>
      <c r="AT5" s="102" t="s">
        <v>15</v>
      </c>
      <c r="AU5" s="101" t="s">
        <v>16</v>
      </c>
      <c r="AV5" s="104" t="s">
        <v>73</v>
      </c>
      <c r="AW5" s="112" t="s">
        <v>15</v>
      </c>
      <c r="AX5" s="113" t="s">
        <v>16</v>
      </c>
      <c r="AY5" s="427"/>
      <c r="AZ5" s="112" t="s">
        <v>15</v>
      </c>
      <c r="BA5" s="113" t="s">
        <v>16</v>
      </c>
      <c r="BB5" s="429"/>
      <c r="BC5" s="423"/>
      <c r="BD5" s="413"/>
    </row>
    <row r="6" spans="1:57" ht="74.25" customHeight="1">
      <c r="A6" s="114">
        <v>1</v>
      </c>
      <c r="B6" s="107" t="s">
        <v>60</v>
      </c>
      <c r="C6" s="101">
        <v>1</v>
      </c>
      <c r="D6" s="108" t="s">
        <v>89</v>
      </c>
      <c r="E6" s="115">
        <v>21</v>
      </c>
      <c r="F6" s="115">
        <v>168</v>
      </c>
      <c r="G6" s="116">
        <v>3127</v>
      </c>
      <c r="H6" s="117">
        <f>G6/21*E6</f>
        <v>3127</v>
      </c>
      <c r="I6" s="118">
        <v>90</v>
      </c>
      <c r="J6" s="118">
        <f>H6+I6</f>
        <v>3217</v>
      </c>
      <c r="K6" s="119"/>
      <c r="L6" s="116"/>
      <c r="M6" s="116">
        <f>J6+L6</f>
        <v>3217</v>
      </c>
      <c r="N6" s="116"/>
      <c r="O6" s="116"/>
      <c r="P6" s="116"/>
      <c r="Q6" s="120"/>
      <c r="R6" s="119">
        <v>1</v>
      </c>
      <c r="S6" s="116">
        <f>H6*R6</f>
        <v>3127</v>
      </c>
      <c r="T6" s="118"/>
      <c r="U6" s="118"/>
      <c r="V6" s="118"/>
      <c r="W6" s="111"/>
      <c r="X6" s="118"/>
      <c r="Y6" s="121"/>
      <c r="Z6" s="116"/>
      <c r="AA6" s="121"/>
      <c r="AB6" s="116"/>
      <c r="AC6" s="116"/>
      <c r="AD6" s="116"/>
      <c r="AE6" s="116"/>
      <c r="AF6" s="122">
        <f>AB6+Z6+X6+V6+S6+Q6+O6+M6+T6+AC6+AE6+U6+AD6</f>
        <v>6344</v>
      </c>
      <c r="AG6" s="123">
        <v>11</v>
      </c>
      <c r="AH6" s="124">
        <f>G6/E6*AG6</f>
        <v>1637.95</v>
      </c>
      <c r="AI6" s="118">
        <f>AF6-AH6</f>
        <v>4706.05</v>
      </c>
      <c r="AJ6" s="116"/>
      <c r="AK6" s="116">
        <f>AH6*18%</f>
        <v>294.83</v>
      </c>
      <c r="AL6" s="116">
        <f>(AF6-AJ6)*18%-AK6</f>
        <v>847.09</v>
      </c>
      <c r="AM6" s="116"/>
      <c r="AN6" s="125">
        <f>SUM(AK6:AM6)</f>
        <v>1141.92</v>
      </c>
      <c r="AO6" s="116">
        <f>AH6*1.5%</f>
        <v>24.57</v>
      </c>
      <c r="AP6" s="116">
        <f>AF6*1.5%-AO6</f>
        <v>70.59</v>
      </c>
      <c r="AQ6" s="125">
        <f>AO6+AP6</f>
        <v>95.16</v>
      </c>
      <c r="AR6" s="125"/>
      <c r="AS6" s="116">
        <f>AF6*1%</f>
        <v>63.44</v>
      </c>
      <c r="AT6" s="116">
        <f>AK6+AO6</f>
        <v>319.4</v>
      </c>
      <c r="AU6" s="116">
        <f>AL6+AM6+AP6+AS6</f>
        <v>981.12</v>
      </c>
      <c r="AV6" s="125">
        <f>AN6+AQ6+AS6</f>
        <v>1300.52</v>
      </c>
      <c r="AW6" s="124">
        <f>AH6-(AK6+AO6)</f>
        <v>1318.55</v>
      </c>
      <c r="AX6" s="124">
        <f>AF6-(AV6+AW6)</f>
        <v>3724.93</v>
      </c>
      <c r="AY6" s="126">
        <f>SUM(AW6:AX6)</f>
        <v>5043.48</v>
      </c>
      <c r="AZ6" s="127"/>
      <c r="BA6" s="124"/>
      <c r="BB6" s="126">
        <f>SUM(AZ6:BA6)</f>
        <v>0</v>
      </c>
      <c r="BC6" s="126">
        <f>AY6+BB6</f>
        <v>5043.48</v>
      </c>
      <c r="BD6" s="128">
        <f>AF6*22%</f>
        <v>1395.68</v>
      </c>
      <c r="BE6" s="129"/>
    </row>
    <row r="7" spans="1:57" ht="74.25" customHeight="1">
      <c r="A7" s="114">
        <v>2</v>
      </c>
      <c r="B7" s="107" t="s">
        <v>34</v>
      </c>
      <c r="C7" s="101">
        <v>1</v>
      </c>
      <c r="D7" s="108" t="s">
        <v>90</v>
      </c>
      <c r="E7" s="115">
        <v>21</v>
      </c>
      <c r="F7" s="115">
        <v>168</v>
      </c>
      <c r="G7" s="116">
        <v>2457</v>
      </c>
      <c r="H7" s="117">
        <f>G7/21*E7</f>
        <v>2457</v>
      </c>
      <c r="I7" s="118">
        <f>90</f>
        <v>90</v>
      </c>
      <c r="J7" s="118">
        <f>H7+I7</f>
        <v>2547</v>
      </c>
      <c r="K7" s="119">
        <v>0.4</v>
      </c>
      <c r="L7" s="116">
        <f>J7*K7</f>
        <v>1018.8</v>
      </c>
      <c r="M7" s="116">
        <f>J7+L7</f>
        <v>3565.8</v>
      </c>
      <c r="N7" s="116"/>
      <c r="O7" s="116"/>
      <c r="P7" s="116"/>
      <c r="Q7" s="120"/>
      <c r="R7" s="119">
        <v>1</v>
      </c>
      <c r="S7" s="116">
        <f>H7*R7</f>
        <v>2457</v>
      </c>
      <c r="T7" s="118"/>
      <c r="U7" s="118"/>
      <c r="V7" s="118"/>
      <c r="W7" s="111"/>
      <c r="X7" s="118"/>
      <c r="Y7" s="121"/>
      <c r="Z7" s="116"/>
      <c r="AA7" s="121"/>
      <c r="AB7" s="116"/>
      <c r="AC7" s="116"/>
      <c r="AD7" s="116"/>
      <c r="AE7" s="116"/>
      <c r="AF7" s="122">
        <f>AB7+Z7+X7+V7+S7+Q7+O7+M7+T7+AC7+AE7+U7+AD7</f>
        <v>6022.8</v>
      </c>
      <c r="AG7" s="123"/>
      <c r="AH7" s="124">
        <f>G7/E7*AG7</f>
        <v>0</v>
      </c>
      <c r="AI7" s="118">
        <f>AF7-AH7</f>
        <v>6022.8</v>
      </c>
      <c r="AJ7" s="116"/>
      <c r="AK7" s="116">
        <f>AH7*18%</f>
        <v>0</v>
      </c>
      <c r="AL7" s="116">
        <f>(AF7-AJ7)*18%-AK7</f>
        <v>1084.1</v>
      </c>
      <c r="AM7" s="116"/>
      <c r="AN7" s="125">
        <f>SUM(AK7:AM7)</f>
        <v>1084.1</v>
      </c>
      <c r="AO7" s="116">
        <f>AH7*1.5%</f>
        <v>0</v>
      </c>
      <c r="AP7" s="116">
        <f>AF7*1.5%-AO7</f>
        <v>90.34</v>
      </c>
      <c r="AQ7" s="125">
        <f>AO7+AP7</f>
        <v>90.34</v>
      </c>
      <c r="AR7" s="125"/>
      <c r="AS7" s="116">
        <f>AF7*1%</f>
        <v>60.23</v>
      </c>
      <c r="AT7" s="116">
        <f>AK7+AO7</f>
        <v>0</v>
      </c>
      <c r="AU7" s="116">
        <f>AL7+AM7+AP7+AS7</f>
        <v>1234.67</v>
      </c>
      <c r="AV7" s="125">
        <f>AN7+AQ7+AS7</f>
        <v>1234.67</v>
      </c>
      <c r="AW7" s="124">
        <f>AH7-(AK7+AO7)</f>
        <v>0</v>
      </c>
      <c r="AX7" s="124">
        <f>AF7-(AV7+AW7)</f>
        <v>4788.13</v>
      </c>
      <c r="AY7" s="126">
        <f>SUM(AW7:AX7)</f>
        <v>4788.13</v>
      </c>
      <c r="AZ7" s="127"/>
      <c r="BA7" s="124"/>
      <c r="BB7" s="126">
        <f aca="true" t="shared" si="0" ref="BB7:BB23">SUM(AZ7:BA7)</f>
        <v>0</v>
      </c>
      <c r="BC7" s="126">
        <f>AY7+BB7</f>
        <v>4788.13</v>
      </c>
      <c r="BD7" s="128">
        <f>AF7*22%</f>
        <v>1325.02</v>
      </c>
      <c r="BE7" s="129"/>
    </row>
    <row r="8" spans="1:57" ht="74.25" customHeight="1">
      <c r="A8" s="114">
        <v>3</v>
      </c>
      <c r="B8" s="107" t="s">
        <v>36</v>
      </c>
      <c r="C8" s="101">
        <v>1</v>
      </c>
      <c r="D8" s="108" t="s">
        <v>91</v>
      </c>
      <c r="E8" s="115">
        <v>21</v>
      </c>
      <c r="F8" s="115">
        <v>168</v>
      </c>
      <c r="G8" s="116">
        <v>1723</v>
      </c>
      <c r="H8" s="117">
        <f>G8/21*E8</f>
        <v>1723</v>
      </c>
      <c r="I8" s="118">
        <f>55</f>
        <v>55</v>
      </c>
      <c r="J8" s="118">
        <f>H8+I8</f>
        <v>1778</v>
      </c>
      <c r="K8" s="119">
        <v>0.15</v>
      </c>
      <c r="L8" s="116">
        <f>J8*K8</f>
        <v>266.7</v>
      </c>
      <c r="M8" s="116">
        <f>J8+L8</f>
        <v>2044.7</v>
      </c>
      <c r="N8" s="116"/>
      <c r="O8" s="116"/>
      <c r="P8" s="116"/>
      <c r="Q8" s="120"/>
      <c r="R8" s="119">
        <v>1</v>
      </c>
      <c r="S8" s="116">
        <f>H8*R8</f>
        <v>1723</v>
      </c>
      <c r="T8" s="118"/>
      <c r="U8" s="118"/>
      <c r="V8" s="118"/>
      <c r="W8" s="111"/>
      <c r="X8" s="118"/>
      <c r="Y8" s="121"/>
      <c r="Z8" s="116"/>
      <c r="AA8" s="121"/>
      <c r="AB8" s="116"/>
      <c r="AC8" s="116"/>
      <c r="AD8" s="116"/>
      <c r="AE8" s="116"/>
      <c r="AF8" s="122">
        <f>AB8+Z8+X8+V8+S8+Q8+O8+M8+T8+AC8+AE8+U8+AD8</f>
        <v>3767.7</v>
      </c>
      <c r="AG8" s="123">
        <v>11</v>
      </c>
      <c r="AH8" s="124">
        <f>G8/E8*AG8</f>
        <v>902.52</v>
      </c>
      <c r="AI8" s="118">
        <f>AF8-AH8</f>
        <v>2865.18</v>
      </c>
      <c r="AJ8" s="116"/>
      <c r="AK8" s="116">
        <f>AH8*18%</f>
        <v>162.45</v>
      </c>
      <c r="AL8" s="116">
        <f>(AF8-AJ8)*18%-AK8</f>
        <v>515.74</v>
      </c>
      <c r="AM8" s="116"/>
      <c r="AN8" s="125">
        <f>SUM(AK8:AM8)</f>
        <v>678.19</v>
      </c>
      <c r="AO8" s="116">
        <f>AH8*1.5%</f>
        <v>13.54</v>
      </c>
      <c r="AP8" s="116">
        <f>AF8*1.5%-AO8</f>
        <v>42.98</v>
      </c>
      <c r="AQ8" s="125">
        <f>AO8+AP8</f>
        <v>56.52</v>
      </c>
      <c r="AR8" s="125"/>
      <c r="AS8" s="116">
        <f>AF8*1%</f>
        <v>37.68</v>
      </c>
      <c r="AT8" s="116">
        <f>AK8+AO8</f>
        <v>175.99</v>
      </c>
      <c r="AU8" s="116">
        <f>AL8+AM8+AP8+AS8</f>
        <v>596.4</v>
      </c>
      <c r="AV8" s="125">
        <f>AN8+AQ8+AS8</f>
        <v>772.39</v>
      </c>
      <c r="AW8" s="124">
        <f>AH8-(AK8+AO8)</f>
        <v>726.53</v>
      </c>
      <c r="AX8" s="124">
        <f>AF8-(AV8+AW8)</f>
        <v>2268.78</v>
      </c>
      <c r="AY8" s="126">
        <f>SUM(AW8:AX8)</f>
        <v>2995.31</v>
      </c>
      <c r="AZ8" s="127"/>
      <c r="BA8" s="124"/>
      <c r="BB8" s="126">
        <f t="shared" si="0"/>
        <v>0</v>
      </c>
      <c r="BC8" s="126">
        <f>AY8+BB8</f>
        <v>2995.31</v>
      </c>
      <c r="BD8" s="128">
        <f>AF8*22%</f>
        <v>828.89</v>
      </c>
      <c r="BE8" s="129"/>
    </row>
    <row r="9" spans="1:57" ht="74.25" customHeight="1">
      <c r="A9" s="114">
        <v>4</v>
      </c>
      <c r="B9" s="107" t="s">
        <v>37</v>
      </c>
      <c r="C9" s="101">
        <v>1</v>
      </c>
      <c r="D9" s="108" t="s">
        <v>92</v>
      </c>
      <c r="E9" s="115">
        <v>21</v>
      </c>
      <c r="F9" s="115">
        <v>168</v>
      </c>
      <c r="G9" s="116">
        <v>1723</v>
      </c>
      <c r="H9" s="117">
        <f>G9/21*E9</f>
        <v>1723</v>
      </c>
      <c r="I9" s="118">
        <f>55</f>
        <v>55</v>
      </c>
      <c r="J9" s="118">
        <f>H9+I9</f>
        <v>1778</v>
      </c>
      <c r="K9" s="119">
        <v>0.25</v>
      </c>
      <c r="L9" s="116">
        <f>J9*K9</f>
        <v>444.5</v>
      </c>
      <c r="M9" s="116">
        <f>J9+L9</f>
        <v>2222.5</v>
      </c>
      <c r="N9" s="116"/>
      <c r="O9" s="116"/>
      <c r="P9" s="116"/>
      <c r="Q9" s="120"/>
      <c r="R9" s="119">
        <v>1</v>
      </c>
      <c r="S9" s="116">
        <f>H9*R9</f>
        <v>1723</v>
      </c>
      <c r="T9" s="118"/>
      <c r="U9" s="118"/>
      <c r="V9" s="118"/>
      <c r="W9" s="111"/>
      <c r="X9" s="118"/>
      <c r="Y9" s="121"/>
      <c r="Z9" s="116"/>
      <c r="AA9" s="121"/>
      <c r="AB9" s="116"/>
      <c r="AC9" s="116"/>
      <c r="AD9" s="116"/>
      <c r="AE9" s="116"/>
      <c r="AF9" s="122">
        <f>AB9+Z9+X9+V9+S9+Q9+O9+M9+T9+AC9+AE9+U9+AD9</f>
        <v>3945.5</v>
      </c>
      <c r="AG9" s="123">
        <v>11</v>
      </c>
      <c r="AH9" s="124">
        <f>G9/E9*AG9</f>
        <v>902.52</v>
      </c>
      <c r="AI9" s="118">
        <f>AF9-AH9</f>
        <v>3042.98</v>
      </c>
      <c r="AJ9" s="116"/>
      <c r="AK9" s="116">
        <f>AH9*18%</f>
        <v>162.45</v>
      </c>
      <c r="AL9" s="116">
        <f>(AF9-AJ9)*18%-AK9</f>
        <v>547.74</v>
      </c>
      <c r="AM9" s="116"/>
      <c r="AN9" s="125">
        <f>SUM(AK9:AM9)</f>
        <v>710.19</v>
      </c>
      <c r="AO9" s="116">
        <f>AH9*1.5%</f>
        <v>13.54</v>
      </c>
      <c r="AP9" s="116">
        <f>AF9*1.5%-AO9</f>
        <v>45.64</v>
      </c>
      <c r="AQ9" s="125">
        <f>AO9+AP9</f>
        <v>59.18</v>
      </c>
      <c r="AR9" s="125"/>
      <c r="AS9" s="116">
        <f>AF9*1%</f>
        <v>39.46</v>
      </c>
      <c r="AT9" s="116">
        <f>AK9+AO9</f>
        <v>175.99</v>
      </c>
      <c r="AU9" s="116">
        <f>AL9+AM9+AP9+AS9</f>
        <v>632.84</v>
      </c>
      <c r="AV9" s="125">
        <f>AN9+AQ9+AS9</f>
        <v>808.83</v>
      </c>
      <c r="AW9" s="124">
        <f>AH9-(AK9+AO9)</f>
        <v>726.53</v>
      </c>
      <c r="AX9" s="124">
        <f>AF9-(AV9+AW9)</f>
        <v>2410.14</v>
      </c>
      <c r="AY9" s="126">
        <f>SUM(AW9:AX9)</f>
        <v>3136.67</v>
      </c>
      <c r="AZ9" s="127"/>
      <c r="BA9" s="124"/>
      <c r="BB9" s="126">
        <f t="shared" si="0"/>
        <v>0</v>
      </c>
      <c r="BC9" s="126">
        <f>AY9+BB9</f>
        <v>3136.67</v>
      </c>
      <c r="BD9" s="128">
        <f>AF9*22%</f>
        <v>868.01</v>
      </c>
      <c r="BE9" s="129"/>
    </row>
    <row r="10" spans="1:57" ht="74.25" customHeight="1">
      <c r="A10" s="130">
        <v>5</v>
      </c>
      <c r="B10" s="106" t="s">
        <v>85</v>
      </c>
      <c r="C10" s="102">
        <v>1</v>
      </c>
      <c r="D10" s="105" t="s">
        <v>93</v>
      </c>
      <c r="E10" s="115">
        <v>17</v>
      </c>
      <c r="F10" s="115">
        <v>136</v>
      </c>
      <c r="G10" s="116">
        <v>1723</v>
      </c>
      <c r="H10" s="117">
        <f>G10/21*E10</f>
        <v>1394.81</v>
      </c>
      <c r="I10" s="118">
        <v>36.43</v>
      </c>
      <c r="J10" s="118">
        <f>H10+I10</f>
        <v>1431.24</v>
      </c>
      <c r="K10" s="119">
        <v>0.1</v>
      </c>
      <c r="L10" s="116">
        <f>J10*K10</f>
        <v>143.12</v>
      </c>
      <c r="M10" s="116">
        <f>J10+L10</f>
        <v>1574.36</v>
      </c>
      <c r="N10" s="116"/>
      <c r="O10" s="116"/>
      <c r="P10" s="116"/>
      <c r="Q10" s="120"/>
      <c r="R10" s="119">
        <v>1</v>
      </c>
      <c r="S10" s="116">
        <f>H10*R10</f>
        <v>1394.81</v>
      </c>
      <c r="T10" s="118"/>
      <c r="U10" s="118"/>
      <c r="V10" s="118"/>
      <c r="W10" s="111"/>
      <c r="X10" s="118"/>
      <c r="Y10" s="121"/>
      <c r="Z10" s="116"/>
      <c r="AA10" s="121"/>
      <c r="AB10" s="116"/>
      <c r="AC10" s="116"/>
      <c r="AD10" s="116"/>
      <c r="AE10" s="116"/>
      <c r="AF10" s="122">
        <f>AB10+Z10+X10+V10+S10+Q10+O10+M10+T10+AC10+AE10+U10+AD10</f>
        <v>2969.17</v>
      </c>
      <c r="AG10" s="123"/>
      <c r="AH10" s="124"/>
      <c r="AI10" s="118">
        <f>AF10-AH10</f>
        <v>2969.17</v>
      </c>
      <c r="AJ10" s="116"/>
      <c r="AK10" s="116">
        <f>AH10*18%</f>
        <v>0</v>
      </c>
      <c r="AL10" s="116">
        <f>(AF10-AJ10)*18%-AK10</f>
        <v>534.45</v>
      </c>
      <c r="AM10" s="116"/>
      <c r="AN10" s="125">
        <f>SUM(AK10:AM10)</f>
        <v>534.45</v>
      </c>
      <c r="AO10" s="116">
        <f>AH10*1.5%</f>
        <v>0</v>
      </c>
      <c r="AP10" s="116">
        <f>AF10*1.5%-AO10</f>
        <v>44.54</v>
      </c>
      <c r="AQ10" s="125">
        <f>AO10+AP10</f>
        <v>44.54</v>
      </c>
      <c r="AR10" s="125"/>
      <c r="AS10" s="116">
        <f>AF10*1%</f>
        <v>29.69</v>
      </c>
      <c r="AT10" s="116">
        <f>AK10+AO10</f>
        <v>0</v>
      </c>
      <c r="AU10" s="116">
        <f>AL10+AM10+AP10+AS10</f>
        <v>608.68</v>
      </c>
      <c r="AV10" s="125">
        <f>AN10+AQ10+AS10</f>
        <v>608.68</v>
      </c>
      <c r="AW10" s="124">
        <f>AH10-(AK10+AO10)</f>
        <v>0</v>
      </c>
      <c r="AX10" s="124">
        <f>AF10-(AV10+AW10)</f>
        <v>2360.49</v>
      </c>
      <c r="AY10" s="126">
        <f>SUM(AW10:AX10)</f>
        <v>2360.49</v>
      </c>
      <c r="AZ10" s="127"/>
      <c r="BA10" s="124"/>
      <c r="BB10" s="126">
        <f>SUM(AZ10:BA10)</f>
        <v>0</v>
      </c>
      <c r="BC10" s="126">
        <f>AY10+BB10</f>
        <v>2360.49</v>
      </c>
      <c r="BD10" s="128">
        <f>AF10*22%</f>
        <v>653.22</v>
      </c>
      <c r="BE10" s="129"/>
    </row>
    <row r="11" spans="1:57" ht="74.25" customHeight="1">
      <c r="A11" s="130"/>
      <c r="B11" s="131" t="s">
        <v>39</v>
      </c>
      <c r="C11" s="132">
        <f>SUM(C6:C10)</f>
        <v>5</v>
      </c>
      <c r="D11" s="132"/>
      <c r="E11" s="115"/>
      <c r="F11" s="149">
        <f>SUM(F6:F10)</f>
        <v>808</v>
      </c>
      <c r="G11" s="133">
        <f>SUM(G6:G10)</f>
        <v>10753</v>
      </c>
      <c r="H11" s="133">
        <f aca="true" t="shared" si="1" ref="H11:BD11">SUM(H6:H10)</f>
        <v>10424.81</v>
      </c>
      <c r="I11" s="133">
        <f t="shared" si="1"/>
        <v>326.43</v>
      </c>
      <c r="J11" s="133">
        <f t="shared" si="1"/>
        <v>10751.24</v>
      </c>
      <c r="K11" s="133"/>
      <c r="L11" s="133">
        <f t="shared" si="1"/>
        <v>1873.12</v>
      </c>
      <c r="M11" s="133">
        <f t="shared" si="1"/>
        <v>12624.36</v>
      </c>
      <c r="N11" s="133"/>
      <c r="O11" s="133">
        <f t="shared" si="1"/>
        <v>0</v>
      </c>
      <c r="P11" s="133">
        <f t="shared" si="1"/>
        <v>0</v>
      </c>
      <c r="Q11" s="133">
        <f t="shared" si="1"/>
        <v>0</v>
      </c>
      <c r="R11" s="133"/>
      <c r="S11" s="133">
        <f>SUM(S6:S10)</f>
        <v>10424.81</v>
      </c>
      <c r="T11" s="133">
        <f>SUM(T6:T10)</f>
        <v>0</v>
      </c>
      <c r="U11" s="133">
        <f>SUM(U6:U10)</f>
        <v>0</v>
      </c>
      <c r="V11" s="133">
        <f>SUM(V6:V10)</f>
        <v>0</v>
      </c>
      <c r="W11" s="133">
        <f t="shared" si="1"/>
        <v>0</v>
      </c>
      <c r="X11" s="133">
        <f t="shared" si="1"/>
        <v>0</v>
      </c>
      <c r="Y11" s="133">
        <f t="shared" si="1"/>
        <v>0</v>
      </c>
      <c r="Z11" s="133">
        <f t="shared" si="1"/>
        <v>0</v>
      </c>
      <c r="AA11" s="133">
        <f t="shared" si="1"/>
        <v>0</v>
      </c>
      <c r="AB11" s="133">
        <f t="shared" si="1"/>
        <v>0</v>
      </c>
      <c r="AC11" s="133">
        <f t="shared" si="1"/>
        <v>0</v>
      </c>
      <c r="AD11" s="133">
        <f t="shared" si="1"/>
        <v>0</v>
      </c>
      <c r="AE11" s="133">
        <f t="shared" si="1"/>
        <v>0</v>
      </c>
      <c r="AF11" s="133">
        <f aca="true" t="shared" si="2" ref="AF11:AS11">SUM(AF6:AF10)</f>
        <v>23049.17</v>
      </c>
      <c r="AG11" s="133">
        <f t="shared" si="2"/>
        <v>33</v>
      </c>
      <c r="AH11" s="133">
        <f t="shared" si="2"/>
        <v>3442.99</v>
      </c>
      <c r="AI11" s="133">
        <f t="shared" si="2"/>
        <v>19606.18</v>
      </c>
      <c r="AJ11" s="133">
        <f t="shared" si="2"/>
        <v>0</v>
      </c>
      <c r="AK11" s="133">
        <f t="shared" si="2"/>
        <v>619.73</v>
      </c>
      <c r="AL11" s="133">
        <f t="shared" si="2"/>
        <v>3529.12</v>
      </c>
      <c r="AM11" s="133">
        <f t="shared" si="2"/>
        <v>0</v>
      </c>
      <c r="AN11" s="133">
        <f t="shared" si="2"/>
        <v>4148.85</v>
      </c>
      <c r="AO11" s="133">
        <f t="shared" si="2"/>
        <v>51.65</v>
      </c>
      <c r="AP11" s="133">
        <f t="shared" si="2"/>
        <v>294.09</v>
      </c>
      <c r="AQ11" s="133">
        <f t="shared" si="2"/>
        <v>345.74</v>
      </c>
      <c r="AR11" s="133">
        <f t="shared" si="2"/>
        <v>0</v>
      </c>
      <c r="AS11" s="133">
        <f t="shared" si="2"/>
        <v>230.5</v>
      </c>
      <c r="AT11" s="133">
        <f t="shared" si="1"/>
        <v>671.38</v>
      </c>
      <c r="AU11" s="133">
        <f t="shared" si="1"/>
        <v>4053.71</v>
      </c>
      <c r="AV11" s="133">
        <f t="shared" si="1"/>
        <v>4725.09</v>
      </c>
      <c r="AW11" s="133">
        <f t="shared" si="1"/>
        <v>2771.61</v>
      </c>
      <c r="AX11" s="133">
        <f t="shared" si="1"/>
        <v>15552.47</v>
      </c>
      <c r="AY11" s="133">
        <f t="shared" si="1"/>
        <v>18324.08</v>
      </c>
      <c r="AZ11" s="133">
        <f t="shared" si="1"/>
        <v>0</v>
      </c>
      <c r="BA11" s="133">
        <f t="shared" si="1"/>
        <v>0</v>
      </c>
      <c r="BB11" s="133">
        <f t="shared" si="1"/>
        <v>0</v>
      </c>
      <c r="BC11" s="133">
        <f t="shared" si="1"/>
        <v>18324.08</v>
      </c>
      <c r="BD11" s="133">
        <f t="shared" si="1"/>
        <v>5070.82</v>
      </c>
      <c r="BE11" s="129"/>
    </row>
    <row r="12" spans="1:57" s="143" customFormat="1" ht="74.25" customHeight="1">
      <c r="A12" s="136">
        <v>6</v>
      </c>
      <c r="B12" s="137" t="s">
        <v>61</v>
      </c>
      <c r="C12" s="137">
        <v>1</v>
      </c>
      <c r="D12" s="137" t="s">
        <v>44</v>
      </c>
      <c r="E12" s="115">
        <v>21</v>
      </c>
      <c r="F12" s="115">
        <v>168</v>
      </c>
      <c r="G12" s="138">
        <v>1723</v>
      </c>
      <c r="H12" s="117">
        <f>G12/21*E12</f>
        <v>1723</v>
      </c>
      <c r="I12" s="138"/>
      <c r="J12" s="118">
        <f aca="true" t="shared" si="3" ref="J12:J20">H12+I12</f>
        <v>1723</v>
      </c>
      <c r="K12" s="138"/>
      <c r="L12" s="138"/>
      <c r="M12" s="116">
        <f aca="true" t="shared" si="4" ref="M12:M21">J12+L12</f>
        <v>1723</v>
      </c>
      <c r="N12" s="139">
        <v>0.5</v>
      </c>
      <c r="O12" s="116">
        <f aca="true" t="shared" si="5" ref="O12:O17">M12*N12</f>
        <v>861.5</v>
      </c>
      <c r="P12" s="138"/>
      <c r="Q12" s="120"/>
      <c r="R12" s="119">
        <v>0.35</v>
      </c>
      <c r="S12" s="116">
        <f aca="true" t="shared" si="6" ref="S12:S17">H12*R12</f>
        <v>603.05</v>
      </c>
      <c r="T12" s="138"/>
      <c r="U12" s="138"/>
      <c r="V12" s="138"/>
      <c r="W12" s="140"/>
      <c r="X12" s="138"/>
      <c r="Y12" s="140"/>
      <c r="Z12" s="138"/>
      <c r="AA12" s="138"/>
      <c r="AB12" s="138"/>
      <c r="AC12" s="138"/>
      <c r="AD12" s="138"/>
      <c r="AE12" s="138"/>
      <c r="AF12" s="122">
        <f aca="true" t="shared" si="7" ref="AF12:AF21">AB12+Z12+X12+V12+S12+Q12+O12+M12+T12+AC12+AE12+U12+AD12</f>
        <v>3187.55</v>
      </c>
      <c r="AG12" s="123">
        <v>11</v>
      </c>
      <c r="AH12" s="124">
        <f>G12/E12*AG12</f>
        <v>902.52</v>
      </c>
      <c r="AI12" s="118">
        <f>AF12-AH12</f>
        <v>2285.03</v>
      </c>
      <c r="AJ12" s="138"/>
      <c r="AK12" s="116">
        <f aca="true" t="shared" si="8" ref="AK12:AK17">AH12*18%</f>
        <v>162.45</v>
      </c>
      <c r="AL12" s="116">
        <f aca="true" t="shared" si="9" ref="AL12:AL20">(AF12-AJ12)*18%-AK12</f>
        <v>411.31</v>
      </c>
      <c r="AM12" s="138"/>
      <c r="AN12" s="125">
        <f>AK12+AL12</f>
        <v>573.76</v>
      </c>
      <c r="AO12" s="116">
        <f aca="true" t="shared" si="10" ref="AO12:AO21">AH12*1.5%</f>
        <v>13.54</v>
      </c>
      <c r="AP12" s="116">
        <f>AF12*1.5%-AO12</f>
        <v>34.27</v>
      </c>
      <c r="AQ12" s="125">
        <f>AO12+AP12</f>
        <v>47.81</v>
      </c>
      <c r="AR12" s="125"/>
      <c r="AS12" s="116">
        <f>AF12*1%</f>
        <v>31.88</v>
      </c>
      <c r="AT12" s="116">
        <f aca="true" t="shared" si="11" ref="AT12:AT20">AK12+AO12</f>
        <v>175.99</v>
      </c>
      <c r="AU12" s="116">
        <f>AL12+AM12+AP12+AS12</f>
        <v>477.46</v>
      </c>
      <c r="AV12" s="125">
        <f>AN12+AQ12+AS12</f>
        <v>653.45</v>
      </c>
      <c r="AW12" s="124">
        <f>AH12-(AK12+AO12)</f>
        <v>726.53</v>
      </c>
      <c r="AX12" s="124">
        <f>AF12-(AV12+AW12)</f>
        <v>1807.57</v>
      </c>
      <c r="AY12" s="126">
        <f>SUM(AW12:AX12)</f>
        <v>2534.1</v>
      </c>
      <c r="AZ12" s="141"/>
      <c r="BA12" s="138"/>
      <c r="BB12" s="126">
        <f t="shared" si="0"/>
        <v>0</v>
      </c>
      <c r="BC12" s="126">
        <f>AY12+BB12</f>
        <v>2534.1</v>
      </c>
      <c r="BD12" s="128">
        <f>AF12*22%</f>
        <v>701.26</v>
      </c>
      <c r="BE12" s="142"/>
    </row>
    <row r="13" spans="1:57" ht="74.25" customHeight="1">
      <c r="A13" s="114">
        <v>7</v>
      </c>
      <c r="B13" s="101" t="s">
        <v>41</v>
      </c>
      <c r="C13" s="101">
        <v>1</v>
      </c>
      <c r="D13" s="144" t="s">
        <v>94</v>
      </c>
      <c r="E13" s="115">
        <v>21</v>
      </c>
      <c r="F13" s="115">
        <v>168</v>
      </c>
      <c r="G13" s="138">
        <v>1723</v>
      </c>
      <c r="H13" s="117">
        <f aca="true" t="shared" si="12" ref="H13:H21">G13/21*E13</f>
        <v>1723</v>
      </c>
      <c r="I13" s="118"/>
      <c r="J13" s="118">
        <f t="shared" si="3"/>
        <v>1723</v>
      </c>
      <c r="K13" s="119">
        <v>0.4</v>
      </c>
      <c r="L13" s="116">
        <f>J13*K13</f>
        <v>689.2</v>
      </c>
      <c r="M13" s="116">
        <f t="shared" si="4"/>
        <v>2412.2</v>
      </c>
      <c r="N13" s="139">
        <v>0.45</v>
      </c>
      <c r="O13" s="116">
        <f t="shared" si="5"/>
        <v>1085.49</v>
      </c>
      <c r="P13" s="145"/>
      <c r="Q13" s="120"/>
      <c r="R13" s="119"/>
      <c r="S13" s="116">
        <f t="shared" si="6"/>
        <v>0</v>
      </c>
      <c r="T13" s="118"/>
      <c r="U13" s="118"/>
      <c r="V13" s="118"/>
      <c r="W13" s="111"/>
      <c r="X13" s="118"/>
      <c r="Y13" s="121"/>
      <c r="Z13" s="116"/>
      <c r="AA13" s="121"/>
      <c r="AB13" s="116"/>
      <c r="AC13" s="124"/>
      <c r="AD13" s="116"/>
      <c r="AE13" s="124"/>
      <c r="AF13" s="122">
        <f t="shared" si="7"/>
        <v>3497.69</v>
      </c>
      <c r="AG13" s="123"/>
      <c r="AH13" s="124">
        <f>G13/E13*AG13</f>
        <v>0</v>
      </c>
      <c r="AI13" s="118">
        <f aca="true" t="shared" si="13" ref="AI13:AI21">AF13-AH13</f>
        <v>3497.69</v>
      </c>
      <c r="AJ13" s="116"/>
      <c r="AK13" s="116">
        <f t="shared" si="8"/>
        <v>0</v>
      </c>
      <c r="AL13" s="116">
        <f t="shared" si="9"/>
        <v>629.58</v>
      </c>
      <c r="AM13" s="116"/>
      <c r="AN13" s="125">
        <f aca="true" t="shared" si="14" ref="AN13:AN21">AK13+AL13</f>
        <v>629.58</v>
      </c>
      <c r="AO13" s="116">
        <f t="shared" si="10"/>
        <v>0</v>
      </c>
      <c r="AP13" s="116">
        <f aca="true" t="shared" si="15" ref="AP13:AP21">AF13*1.5%-AO13</f>
        <v>52.47</v>
      </c>
      <c r="AQ13" s="125">
        <f aca="true" t="shared" si="16" ref="AQ13:AQ21">AO13+AP13</f>
        <v>52.47</v>
      </c>
      <c r="AR13" s="125"/>
      <c r="AS13" s="116">
        <f aca="true" t="shared" si="17" ref="AS13:AS21">AF13*1%</f>
        <v>34.98</v>
      </c>
      <c r="AT13" s="116">
        <f t="shared" si="11"/>
        <v>0</v>
      </c>
      <c r="AU13" s="116">
        <f aca="true" t="shared" si="18" ref="AU13:AU21">AL13+AM13+AP13+AS13</f>
        <v>717.03</v>
      </c>
      <c r="AV13" s="125">
        <f aca="true" t="shared" si="19" ref="AV13:AV21">AN13+AQ13+AS13</f>
        <v>717.03</v>
      </c>
      <c r="AW13" s="124">
        <f aca="true" t="shared" si="20" ref="AW13:AW21">AH13-(AK13+AO13)</f>
        <v>0</v>
      </c>
      <c r="AX13" s="124">
        <v>0</v>
      </c>
      <c r="AY13" s="126">
        <f aca="true" t="shared" si="21" ref="AY13:AY21">SUM(AW13:AX13)</f>
        <v>0</v>
      </c>
      <c r="AZ13" s="127"/>
      <c r="BA13" s="124">
        <f>AF13-AV13</f>
        <v>2780.66</v>
      </c>
      <c r="BB13" s="126">
        <f t="shared" si="0"/>
        <v>2780.66</v>
      </c>
      <c r="BC13" s="126">
        <f aca="true" t="shared" si="22" ref="BC13:BC21">AY13+BB13</f>
        <v>2780.66</v>
      </c>
      <c r="BD13" s="128">
        <f aca="true" t="shared" si="23" ref="BD13:BD21">AF13*22%</f>
        <v>769.49</v>
      </c>
      <c r="BE13" s="129"/>
    </row>
    <row r="14" spans="1:57" s="143" customFormat="1" ht="74.25" customHeight="1">
      <c r="A14" s="136">
        <v>8</v>
      </c>
      <c r="B14" s="174" t="s">
        <v>74</v>
      </c>
      <c r="C14" s="209">
        <v>1</v>
      </c>
      <c r="D14" s="205" t="s">
        <v>50</v>
      </c>
      <c r="E14" s="136">
        <v>21</v>
      </c>
      <c r="F14" s="136">
        <v>168</v>
      </c>
      <c r="G14" s="138">
        <v>1723</v>
      </c>
      <c r="H14" s="138">
        <f t="shared" si="12"/>
        <v>1723</v>
      </c>
      <c r="I14" s="138"/>
      <c r="J14" s="138">
        <f t="shared" si="3"/>
        <v>1723</v>
      </c>
      <c r="K14" s="139"/>
      <c r="L14" s="138"/>
      <c r="M14" s="138">
        <f t="shared" si="4"/>
        <v>1723</v>
      </c>
      <c r="N14" s="139">
        <v>0.5</v>
      </c>
      <c r="O14" s="138">
        <f t="shared" si="5"/>
        <v>861.5</v>
      </c>
      <c r="P14" s="139"/>
      <c r="Q14" s="120"/>
      <c r="R14" s="139">
        <v>0.35</v>
      </c>
      <c r="S14" s="138">
        <f t="shared" si="6"/>
        <v>603.05</v>
      </c>
      <c r="T14" s="138"/>
      <c r="U14" s="138"/>
      <c r="V14" s="138"/>
      <c r="W14" s="140"/>
      <c r="X14" s="138"/>
      <c r="Y14" s="140"/>
      <c r="Z14" s="138"/>
      <c r="AA14" s="140"/>
      <c r="AB14" s="138"/>
      <c r="AC14" s="138"/>
      <c r="AD14" s="138"/>
      <c r="AE14" s="138"/>
      <c r="AF14" s="147">
        <f t="shared" si="7"/>
        <v>3187.55</v>
      </c>
      <c r="AG14" s="210">
        <v>11</v>
      </c>
      <c r="AH14" s="138">
        <f>G14/E14*AG14</f>
        <v>902.52</v>
      </c>
      <c r="AI14" s="138">
        <f t="shared" si="13"/>
        <v>2285.03</v>
      </c>
      <c r="AJ14" s="138"/>
      <c r="AK14" s="138">
        <f t="shared" si="8"/>
        <v>162.45</v>
      </c>
      <c r="AL14" s="138">
        <f t="shared" si="9"/>
        <v>411.31</v>
      </c>
      <c r="AM14" s="138"/>
      <c r="AN14" s="147">
        <f t="shared" si="14"/>
        <v>573.76</v>
      </c>
      <c r="AO14" s="138">
        <f t="shared" si="10"/>
        <v>13.54</v>
      </c>
      <c r="AP14" s="138">
        <f t="shared" si="15"/>
        <v>34.27</v>
      </c>
      <c r="AQ14" s="147">
        <f t="shared" si="16"/>
        <v>47.81</v>
      </c>
      <c r="AR14" s="147"/>
      <c r="AS14" s="138">
        <f t="shared" si="17"/>
        <v>31.88</v>
      </c>
      <c r="AT14" s="138">
        <f t="shared" si="11"/>
        <v>175.99</v>
      </c>
      <c r="AU14" s="138">
        <f t="shared" si="18"/>
        <v>477.46</v>
      </c>
      <c r="AV14" s="147">
        <f>AN14+AQ14+AS14</f>
        <v>653.45</v>
      </c>
      <c r="AW14" s="138">
        <f t="shared" si="20"/>
        <v>726.53</v>
      </c>
      <c r="AX14" s="138">
        <f>AF14-(AV14+AW14)</f>
        <v>1807.57</v>
      </c>
      <c r="AY14" s="147">
        <f t="shared" si="21"/>
        <v>2534.1</v>
      </c>
      <c r="AZ14" s="138"/>
      <c r="BA14" s="138"/>
      <c r="BB14" s="147">
        <f t="shared" si="0"/>
        <v>0</v>
      </c>
      <c r="BC14" s="147">
        <f t="shared" si="22"/>
        <v>2534.1</v>
      </c>
      <c r="BD14" s="147">
        <f t="shared" si="23"/>
        <v>701.26</v>
      </c>
      <c r="BE14" s="142"/>
    </row>
    <row r="15" spans="1:57" s="143" customFormat="1" ht="74.25" customHeight="1">
      <c r="A15" s="136">
        <v>9</v>
      </c>
      <c r="B15" s="174" t="s">
        <v>43</v>
      </c>
      <c r="C15" s="174">
        <v>1</v>
      </c>
      <c r="D15" s="174" t="s">
        <v>44</v>
      </c>
      <c r="E15" s="136">
        <v>21</v>
      </c>
      <c r="F15" s="136">
        <v>168</v>
      </c>
      <c r="G15" s="138">
        <v>1723</v>
      </c>
      <c r="H15" s="138">
        <f t="shared" si="12"/>
        <v>1723</v>
      </c>
      <c r="I15" s="138"/>
      <c r="J15" s="138">
        <f t="shared" si="3"/>
        <v>1723</v>
      </c>
      <c r="K15" s="139">
        <v>0.25</v>
      </c>
      <c r="L15" s="138">
        <f>J15*K15</f>
        <v>430.75</v>
      </c>
      <c r="M15" s="138">
        <f t="shared" si="4"/>
        <v>2153.75</v>
      </c>
      <c r="N15" s="139">
        <v>0.5</v>
      </c>
      <c r="O15" s="138">
        <f t="shared" si="5"/>
        <v>1076.88</v>
      </c>
      <c r="P15" s="138"/>
      <c r="Q15" s="120"/>
      <c r="R15" s="139">
        <v>0.1</v>
      </c>
      <c r="S15" s="138">
        <f t="shared" si="6"/>
        <v>172.3</v>
      </c>
      <c r="T15" s="138"/>
      <c r="U15" s="138"/>
      <c r="V15" s="138"/>
      <c r="W15" s="140"/>
      <c r="X15" s="138"/>
      <c r="Y15" s="140"/>
      <c r="Z15" s="138"/>
      <c r="AA15" s="140"/>
      <c r="AB15" s="138"/>
      <c r="AC15" s="138"/>
      <c r="AD15" s="138"/>
      <c r="AE15" s="138"/>
      <c r="AF15" s="147">
        <f t="shared" si="7"/>
        <v>3402.93</v>
      </c>
      <c r="AG15" s="210">
        <v>11</v>
      </c>
      <c r="AH15" s="138">
        <f>G15/E15*AG15</f>
        <v>902.52</v>
      </c>
      <c r="AI15" s="138">
        <f t="shared" si="13"/>
        <v>2500.41</v>
      </c>
      <c r="AJ15" s="138"/>
      <c r="AK15" s="138">
        <f t="shared" si="8"/>
        <v>162.45</v>
      </c>
      <c r="AL15" s="138">
        <f t="shared" si="9"/>
        <v>450.08</v>
      </c>
      <c r="AM15" s="138"/>
      <c r="AN15" s="147">
        <f t="shared" si="14"/>
        <v>612.53</v>
      </c>
      <c r="AO15" s="138">
        <f t="shared" si="10"/>
        <v>13.54</v>
      </c>
      <c r="AP15" s="138">
        <f t="shared" si="15"/>
        <v>37.5</v>
      </c>
      <c r="AQ15" s="147">
        <f t="shared" si="16"/>
        <v>51.04</v>
      </c>
      <c r="AR15" s="147">
        <v>8.21</v>
      </c>
      <c r="AS15" s="138">
        <f>AF15*1%</f>
        <v>34.03</v>
      </c>
      <c r="AT15" s="138">
        <f t="shared" si="11"/>
        <v>175.99</v>
      </c>
      <c r="AU15" s="138">
        <f>AL15+AM15+AP15+AS15+AR15</f>
        <v>529.82</v>
      </c>
      <c r="AV15" s="147">
        <f>AN15+AQ15+AS15+AR15</f>
        <v>705.81</v>
      </c>
      <c r="AW15" s="138">
        <f t="shared" si="20"/>
        <v>726.53</v>
      </c>
      <c r="AX15" s="138">
        <f>AF15-(AV15+AW15)</f>
        <v>1970.59</v>
      </c>
      <c r="AY15" s="147">
        <f t="shared" si="21"/>
        <v>2697.12</v>
      </c>
      <c r="AZ15" s="138"/>
      <c r="BA15" s="138"/>
      <c r="BB15" s="147">
        <f t="shared" si="0"/>
        <v>0</v>
      </c>
      <c r="BC15" s="147">
        <f t="shared" si="22"/>
        <v>2697.12</v>
      </c>
      <c r="BD15" s="147">
        <f t="shared" si="23"/>
        <v>748.64</v>
      </c>
      <c r="BE15" s="142"/>
    </row>
    <row r="16" spans="1:57" s="143" customFormat="1" ht="74.25" customHeight="1">
      <c r="A16" s="136">
        <v>10</v>
      </c>
      <c r="B16" s="174" t="s">
        <v>45</v>
      </c>
      <c r="C16" s="174">
        <v>1</v>
      </c>
      <c r="D16" s="174" t="s">
        <v>101</v>
      </c>
      <c r="E16" s="136"/>
      <c r="F16" s="136"/>
      <c r="G16" s="138"/>
      <c r="H16" s="138">
        <f t="shared" si="12"/>
        <v>0</v>
      </c>
      <c r="I16" s="138"/>
      <c r="J16" s="138">
        <f t="shared" si="3"/>
        <v>0</v>
      </c>
      <c r="K16" s="139"/>
      <c r="L16" s="138">
        <f>J16*K16</f>
        <v>0</v>
      </c>
      <c r="M16" s="138">
        <f t="shared" si="4"/>
        <v>0</v>
      </c>
      <c r="N16" s="139"/>
      <c r="O16" s="138">
        <f t="shared" si="5"/>
        <v>0</v>
      </c>
      <c r="P16" s="138"/>
      <c r="Q16" s="120"/>
      <c r="R16" s="139"/>
      <c r="S16" s="138">
        <v>500</v>
      </c>
      <c r="T16" s="138"/>
      <c r="U16" s="138">
        <v>1723</v>
      </c>
      <c r="V16" s="138"/>
      <c r="W16" s="140"/>
      <c r="X16" s="138"/>
      <c r="Y16" s="140"/>
      <c r="Z16" s="138"/>
      <c r="AA16" s="140">
        <v>6</v>
      </c>
      <c r="AB16" s="138">
        <v>485.09</v>
      </c>
      <c r="AC16" s="138"/>
      <c r="AD16" s="138"/>
      <c r="AE16" s="138"/>
      <c r="AF16" s="147">
        <f t="shared" si="7"/>
        <v>2708.09</v>
      </c>
      <c r="AG16" s="210"/>
      <c r="AH16" s="138">
        <v>0</v>
      </c>
      <c r="AI16" s="138">
        <f t="shared" si="13"/>
        <v>2708.09</v>
      </c>
      <c r="AJ16" s="138"/>
      <c r="AK16" s="138">
        <f t="shared" si="8"/>
        <v>0</v>
      </c>
      <c r="AL16" s="138">
        <f t="shared" si="9"/>
        <v>487.46</v>
      </c>
      <c r="AM16" s="138"/>
      <c r="AN16" s="147">
        <f t="shared" si="14"/>
        <v>487.46</v>
      </c>
      <c r="AO16" s="138">
        <f t="shared" si="10"/>
        <v>0</v>
      </c>
      <c r="AP16" s="138">
        <f t="shared" si="15"/>
        <v>40.62</v>
      </c>
      <c r="AQ16" s="147">
        <f t="shared" si="16"/>
        <v>40.62</v>
      </c>
      <c r="AR16" s="147"/>
      <c r="AS16" s="138">
        <f t="shared" si="17"/>
        <v>27.08</v>
      </c>
      <c r="AT16" s="138">
        <f t="shared" si="11"/>
        <v>0</v>
      </c>
      <c r="AU16" s="138">
        <f t="shared" si="18"/>
        <v>555.16</v>
      </c>
      <c r="AV16" s="147">
        <f>AN16+AQ16+AS16</f>
        <v>555.16</v>
      </c>
      <c r="AW16" s="138">
        <f t="shared" si="20"/>
        <v>0</v>
      </c>
      <c r="AX16" s="138"/>
      <c r="AY16" s="147">
        <f t="shared" si="21"/>
        <v>0</v>
      </c>
      <c r="AZ16" s="138"/>
      <c r="BA16" s="138">
        <f>AF16-AV16</f>
        <v>2152.93</v>
      </c>
      <c r="BB16" s="147">
        <f t="shared" si="0"/>
        <v>2152.93</v>
      </c>
      <c r="BC16" s="147">
        <f t="shared" si="22"/>
        <v>2152.93</v>
      </c>
      <c r="BD16" s="147">
        <f t="shared" si="23"/>
        <v>595.78</v>
      </c>
      <c r="BE16" s="142"/>
    </row>
    <row r="17" spans="1:57" s="143" customFormat="1" ht="74.25" customHeight="1">
      <c r="A17" s="136">
        <v>11</v>
      </c>
      <c r="B17" s="174" t="s">
        <v>87</v>
      </c>
      <c r="C17" s="174">
        <v>1</v>
      </c>
      <c r="D17" s="174" t="s">
        <v>88</v>
      </c>
      <c r="E17" s="136">
        <v>21</v>
      </c>
      <c r="F17" s="136">
        <v>168</v>
      </c>
      <c r="G17" s="138">
        <v>1723</v>
      </c>
      <c r="H17" s="138">
        <f>G17/21*E17</f>
        <v>1723</v>
      </c>
      <c r="I17" s="138"/>
      <c r="J17" s="138">
        <f t="shared" si="3"/>
        <v>1723</v>
      </c>
      <c r="K17" s="139"/>
      <c r="L17" s="138"/>
      <c r="M17" s="138">
        <f t="shared" si="4"/>
        <v>1723</v>
      </c>
      <c r="N17" s="139">
        <v>0.5</v>
      </c>
      <c r="O17" s="138">
        <f t="shared" si="5"/>
        <v>861.5</v>
      </c>
      <c r="P17" s="138"/>
      <c r="Q17" s="120"/>
      <c r="R17" s="139">
        <v>0.35</v>
      </c>
      <c r="S17" s="138">
        <f t="shared" si="6"/>
        <v>603.05</v>
      </c>
      <c r="T17" s="138"/>
      <c r="U17" s="138"/>
      <c r="V17" s="138"/>
      <c r="W17" s="140"/>
      <c r="X17" s="138"/>
      <c r="Y17" s="140"/>
      <c r="Z17" s="138"/>
      <c r="AA17" s="140"/>
      <c r="AB17" s="138"/>
      <c r="AC17" s="138"/>
      <c r="AD17" s="138"/>
      <c r="AE17" s="138"/>
      <c r="AF17" s="147">
        <f t="shared" si="7"/>
        <v>3187.55</v>
      </c>
      <c r="AG17" s="210">
        <v>11</v>
      </c>
      <c r="AH17" s="138">
        <f>G17/E17*AG17</f>
        <v>902.52</v>
      </c>
      <c r="AI17" s="138">
        <f t="shared" si="13"/>
        <v>2285.03</v>
      </c>
      <c r="AJ17" s="138"/>
      <c r="AK17" s="138">
        <f t="shared" si="8"/>
        <v>162.45</v>
      </c>
      <c r="AL17" s="138">
        <f t="shared" si="9"/>
        <v>411.31</v>
      </c>
      <c r="AM17" s="138"/>
      <c r="AN17" s="147">
        <f t="shared" si="14"/>
        <v>573.76</v>
      </c>
      <c r="AO17" s="138">
        <f t="shared" si="10"/>
        <v>13.54</v>
      </c>
      <c r="AP17" s="138">
        <f t="shared" si="15"/>
        <v>34.27</v>
      </c>
      <c r="AQ17" s="147">
        <f t="shared" si="16"/>
        <v>47.81</v>
      </c>
      <c r="AR17" s="147"/>
      <c r="AS17" s="138">
        <f t="shared" si="17"/>
        <v>31.88</v>
      </c>
      <c r="AT17" s="138">
        <f t="shared" si="11"/>
        <v>175.99</v>
      </c>
      <c r="AU17" s="138">
        <f t="shared" si="18"/>
        <v>477.46</v>
      </c>
      <c r="AV17" s="147">
        <f>AN17+AQ17+AS17</f>
        <v>653.45</v>
      </c>
      <c r="AW17" s="138">
        <f t="shared" si="20"/>
        <v>726.53</v>
      </c>
      <c r="AX17" s="138">
        <f>AF17-(AV17+AW17)</f>
        <v>1807.57</v>
      </c>
      <c r="AY17" s="147">
        <f t="shared" si="21"/>
        <v>2534.1</v>
      </c>
      <c r="AZ17" s="138"/>
      <c r="BA17" s="138"/>
      <c r="BB17" s="147">
        <f t="shared" si="0"/>
        <v>0</v>
      </c>
      <c r="BC17" s="147">
        <f t="shared" si="22"/>
        <v>2534.1</v>
      </c>
      <c r="BD17" s="147">
        <f t="shared" si="23"/>
        <v>701.26</v>
      </c>
      <c r="BE17" s="142"/>
    </row>
    <row r="18" spans="1:57" s="143" customFormat="1" ht="74.25" customHeight="1">
      <c r="A18" s="136">
        <v>12</v>
      </c>
      <c r="B18" s="174" t="s">
        <v>46</v>
      </c>
      <c r="C18" s="174">
        <v>0.5</v>
      </c>
      <c r="D18" s="174" t="s">
        <v>100</v>
      </c>
      <c r="E18" s="136">
        <v>9</v>
      </c>
      <c r="F18" s="136">
        <v>36</v>
      </c>
      <c r="G18" s="138">
        <v>689</v>
      </c>
      <c r="H18" s="138">
        <f>G18/21*E18</f>
        <v>295.29</v>
      </c>
      <c r="I18" s="138"/>
      <c r="J18" s="138">
        <f t="shared" si="3"/>
        <v>295.29</v>
      </c>
      <c r="K18" s="139"/>
      <c r="L18" s="138"/>
      <c r="M18" s="138">
        <f t="shared" si="4"/>
        <v>295.29</v>
      </c>
      <c r="N18" s="139"/>
      <c r="O18" s="138"/>
      <c r="P18" s="139">
        <v>0.1</v>
      </c>
      <c r="Q18" s="120">
        <f>J18*P18</f>
        <v>29.53</v>
      </c>
      <c r="R18" s="139"/>
      <c r="S18" s="138"/>
      <c r="T18" s="138"/>
      <c r="U18" s="138"/>
      <c r="V18" s="138"/>
      <c r="W18" s="140"/>
      <c r="X18" s="138"/>
      <c r="Y18" s="140"/>
      <c r="Z18" s="138"/>
      <c r="AA18" s="140"/>
      <c r="AB18" s="138"/>
      <c r="AC18" s="138"/>
      <c r="AD18" s="138"/>
      <c r="AE18" s="138"/>
      <c r="AF18" s="147">
        <f t="shared" si="7"/>
        <v>324.82</v>
      </c>
      <c r="AG18" s="210"/>
      <c r="AH18" s="138">
        <f>G18/E18*AG18</f>
        <v>0</v>
      </c>
      <c r="AI18" s="138">
        <f t="shared" si="13"/>
        <v>324.82</v>
      </c>
      <c r="AJ18" s="138"/>
      <c r="AK18" s="138">
        <f>AH18*18%</f>
        <v>0</v>
      </c>
      <c r="AL18" s="138">
        <f t="shared" si="9"/>
        <v>58.47</v>
      </c>
      <c r="AM18" s="138"/>
      <c r="AN18" s="147">
        <f t="shared" si="14"/>
        <v>58.47</v>
      </c>
      <c r="AO18" s="138">
        <f t="shared" si="10"/>
        <v>0</v>
      </c>
      <c r="AP18" s="138">
        <f t="shared" si="15"/>
        <v>4.87</v>
      </c>
      <c r="AQ18" s="147">
        <f t="shared" si="16"/>
        <v>4.87</v>
      </c>
      <c r="AR18" s="147"/>
      <c r="AS18" s="138">
        <f t="shared" si="17"/>
        <v>3.25</v>
      </c>
      <c r="AT18" s="138">
        <f t="shared" si="11"/>
        <v>0</v>
      </c>
      <c r="AU18" s="138">
        <f>AL18+AM18+AP18+AS18</f>
        <v>66.59</v>
      </c>
      <c r="AV18" s="147">
        <f t="shared" si="19"/>
        <v>66.59</v>
      </c>
      <c r="AW18" s="138">
        <f>AH18-(AK18+AO18)</f>
        <v>0</v>
      </c>
      <c r="AX18" s="138">
        <f>AF18-(AV18+AW18)</f>
        <v>258.23</v>
      </c>
      <c r="AY18" s="147">
        <f t="shared" si="21"/>
        <v>258.23</v>
      </c>
      <c r="AZ18" s="138"/>
      <c r="BA18" s="138"/>
      <c r="BB18" s="147">
        <f t="shared" si="0"/>
        <v>0</v>
      </c>
      <c r="BC18" s="147">
        <f t="shared" si="22"/>
        <v>258.23</v>
      </c>
      <c r="BD18" s="147">
        <f t="shared" si="23"/>
        <v>71.46</v>
      </c>
      <c r="BE18" s="142"/>
    </row>
    <row r="19" spans="1:57" s="218" customFormat="1" ht="74.25" customHeight="1">
      <c r="A19" s="211">
        <v>13</v>
      </c>
      <c r="B19" s="212" t="s">
        <v>97</v>
      </c>
      <c r="C19" s="212">
        <v>0.5</v>
      </c>
      <c r="D19" s="212" t="s">
        <v>102</v>
      </c>
      <c r="E19" s="211">
        <v>12</v>
      </c>
      <c r="F19" s="211">
        <v>48</v>
      </c>
      <c r="G19" s="213">
        <v>689</v>
      </c>
      <c r="H19" s="213">
        <f>G19/21*E19</f>
        <v>393.71</v>
      </c>
      <c r="I19" s="213"/>
      <c r="J19" s="213">
        <f>H19+I19</f>
        <v>393.71</v>
      </c>
      <c r="K19" s="214"/>
      <c r="L19" s="213"/>
      <c r="M19" s="213">
        <f>J19+L19</f>
        <v>393.71</v>
      </c>
      <c r="N19" s="214"/>
      <c r="O19" s="213"/>
      <c r="P19" s="214">
        <v>0.1</v>
      </c>
      <c r="Q19" s="215">
        <f>J19*P19</f>
        <v>39.37</v>
      </c>
      <c r="R19" s="214"/>
      <c r="S19" s="213">
        <v>500</v>
      </c>
      <c r="T19" s="213"/>
      <c r="U19" s="213"/>
      <c r="V19" s="213"/>
      <c r="W19" s="216"/>
      <c r="X19" s="213"/>
      <c r="Y19" s="216"/>
      <c r="Z19" s="213"/>
      <c r="AA19" s="216"/>
      <c r="AB19" s="213"/>
      <c r="AC19" s="213"/>
      <c r="AD19" s="213"/>
      <c r="AE19" s="213"/>
      <c r="AF19" s="217">
        <f>AB19+Z19+X19+V19+S19+Q19+O19+M19+T19+AC19+AE19+U19+AD19</f>
        <v>933.08</v>
      </c>
      <c r="AG19" s="220"/>
      <c r="AH19" s="213">
        <f>G19/E19*AG19</f>
        <v>0</v>
      </c>
      <c r="AI19" s="213">
        <f t="shared" si="13"/>
        <v>933.08</v>
      </c>
      <c r="AJ19" s="213">
        <v>1033.5</v>
      </c>
      <c r="AK19" s="213">
        <f>AH19*18%</f>
        <v>0</v>
      </c>
      <c r="AL19" s="213"/>
      <c r="AM19" s="213"/>
      <c r="AN19" s="217">
        <f t="shared" si="14"/>
        <v>0</v>
      </c>
      <c r="AO19" s="213">
        <f>AH19*1.5%</f>
        <v>0</v>
      </c>
      <c r="AP19" s="213">
        <f t="shared" si="15"/>
        <v>14</v>
      </c>
      <c r="AQ19" s="217">
        <f t="shared" si="16"/>
        <v>14</v>
      </c>
      <c r="AR19" s="217"/>
      <c r="AS19" s="213">
        <f t="shared" si="17"/>
        <v>9.33</v>
      </c>
      <c r="AT19" s="213">
        <f>AK19+AO19</f>
        <v>0</v>
      </c>
      <c r="AU19" s="213">
        <f t="shared" si="18"/>
        <v>23.33</v>
      </c>
      <c r="AV19" s="217">
        <f>AN19+AQ19+AS19</f>
        <v>23.33</v>
      </c>
      <c r="AW19" s="213">
        <f t="shared" si="20"/>
        <v>0</v>
      </c>
      <c r="AX19" s="213">
        <f>AF19-(AV19+AW19)</f>
        <v>909.75</v>
      </c>
      <c r="AY19" s="217">
        <f t="shared" si="21"/>
        <v>909.75</v>
      </c>
      <c r="AZ19" s="213"/>
      <c r="BA19" s="213"/>
      <c r="BB19" s="217">
        <f>SUM(AZ19:BA19)</f>
        <v>0</v>
      </c>
      <c r="BC19" s="217">
        <f t="shared" si="22"/>
        <v>909.75</v>
      </c>
      <c r="BD19" s="217">
        <f t="shared" si="23"/>
        <v>205.28</v>
      </c>
      <c r="BE19" s="221"/>
    </row>
    <row r="20" spans="1:57" s="143" customFormat="1" ht="74.25" customHeight="1">
      <c r="A20" s="136">
        <v>14</v>
      </c>
      <c r="B20" s="174" t="s">
        <v>57</v>
      </c>
      <c r="C20" s="174">
        <v>1</v>
      </c>
      <c r="D20" s="174" t="s">
        <v>95</v>
      </c>
      <c r="E20" s="136">
        <v>21</v>
      </c>
      <c r="F20" s="136">
        <v>168</v>
      </c>
      <c r="G20" s="138">
        <v>1378</v>
      </c>
      <c r="H20" s="138">
        <f>G20/21*E20</f>
        <v>1378</v>
      </c>
      <c r="I20" s="138"/>
      <c r="J20" s="138">
        <f t="shared" si="3"/>
        <v>1378</v>
      </c>
      <c r="K20" s="139"/>
      <c r="L20" s="138"/>
      <c r="M20" s="138">
        <f t="shared" si="4"/>
        <v>1378</v>
      </c>
      <c r="N20" s="138"/>
      <c r="O20" s="138"/>
      <c r="P20" s="139">
        <v>0.1</v>
      </c>
      <c r="Q20" s="120">
        <f>J20*P20</f>
        <v>137.8</v>
      </c>
      <c r="R20" s="139"/>
      <c r="S20" s="138"/>
      <c r="T20" s="138"/>
      <c r="U20" s="138"/>
      <c r="V20" s="138"/>
      <c r="W20" s="140"/>
      <c r="X20" s="138"/>
      <c r="Y20" s="140"/>
      <c r="Z20" s="138"/>
      <c r="AA20" s="140"/>
      <c r="AB20" s="138"/>
      <c r="AC20" s="138"/>
      <c r="AD20" s="138"/>
      <c r="AE20" s="138"/>
      <c r="AF20" s="147">
        <f t="shared" si="7"/>
        <v>1515.8</v>
      </c>
      <c r="AG20" s="210">
        <v>11</v>
      </c>
      <c r="AH20" s="138">
        <f>G20/E20*AG20</f>
        <v>721.81</v>
      </c>
      <c r="AI20" s="138">
        <f t="shared" si="13"/>
        <v>793.99</v>
      </c>
      <c r="AJ20" s="138">
        <f>1378*0.5</f>
        <v>689</v>
      </c>
      <c r="AK20" s="138">
        <f>AH20*18%</f>
        <v>129.93</v>
      </c>
      <c r="AL20" s="138">
        <f t="shared" si="9"/>
        <v>18.89</v>
      </c>
      <c r="AM20" s="138"/>
      <c r="AN20" s="147">
        <f t="shared" si="14"/>
        <v>148.82</v>
      </c>
      <c r="AO20" s="138">
        <f t="shared" si="10"/>
        <v>10.83</v>
      </c>
      <c r="AP20" s="138">
        <f t="shared" si="15"/>
        <v>11.91</v>
      </c>
      <c r="AQ20" s="147">
        <f t="shared" si="16"/>
        <v>22.74</v>
      </c>
      <c r="AR20" s="147"/>
      <c r="AS20" s="138">
        <f t="shared" si="17"/>
        <v>15.16</v>
      </c>
      <c r="AT20" s="138">
        <f t="shared" si="11"/>
        <v>140.76</v>
      </c>
      <c r="AU20" s="138">
        <f t="shared" si="18"/>
        <v>45.96</v>
      </c>
      <c r="AV20" s="147">
        <f t="shared" si="19"/>
        <v>186.72</v>
      </c>
      <c r="AW20" s="138">
        <f t="shared" si="20"/>
        <v>581.05</v>
      </c>
      <c r="AX20" s="138">
        <f>AF20-(AV20+AW20)</f>
        <v>748.03</v>
      </c>
      <c r="AY20" s="147">
        <f t="shared" si="21"/>
        <v>1329.08</v>
      </c>
      <c r="AZ20" s="138"/>
      <c r="BA20" s="138"/>
      <c r="BB20" s="147">
        <f t="shared" si="0"/>
        <v>0</v>
      </c>
      <c r="BC20" s="147">
        <f t="shared" si="22"/>
        <v>1329.08</v>
      </c>
      <c r="BD20" s="147">
        <f t="shared" si="23"/>
        <v>333.48</v>
      </c>
      <c r="BE20" s="142"/>
    </row>
    <row r="21" spans="1:57" s="143" customFormat="1" ht="74.25" customHeight="1">
      <c r="A21" s="136">
        <v>15</v>
      </c>
      <c r="B21" s="174" t="s">
        <v>59</v>
      </c>
      <c r="C21" s="174">
        <v>1</v>
      </c>
      <c r="D21" s="174" t="s">
        <v>95</v>
      </c>
      <c r="E21" s="136">
        <v>21</v>
      </c>
      <c r="F21" s="136">
        <v>168</v>
      </c>
      <c r="G21" s="138">
        <v>1378</v>
      </c>
      <c r="H21" s="138">
        <f t="shared" si="12"/>
        <v>1378</v>
      </c>
      <c r="I21" s="138"/>
      <c r="J21" s="138">
        <f>H21</f>
        <v>1378</v>
      </c>
      <c r="K21" s="139"/>
      <c r="L21" s="138"/>
      <c r="M21" s="138">
        <f t="shared" si="4"/>
        <v>1378</v>
      </c>
      <c r="N21" s="138"/>
      <c r="O21" s="138"/>
      <c r="P21" s="139">
        <v>0.1</v>
      </c>
      <c r="Q21" s="120">
        <f>J21*P21</f>
        <v>137.8</v>
      </c>
      <c r="R21" s="139"/>
      <c r="S21" s="138">
        <v>1000</v>
      </c>
      <c r="T21" s="138"/>
      <c r="U21" s="138"/>
      <c r="V21" s="138"/>
      <c r="W21" s="140"/>
      <c r="X21" s="138"/>
      <c r="Y21" s="140"/>
      <c r="Z21" s="138"/>
      <c r="AA21" s="140"/>
      <c r="AB21" s="138"/>
      <c r="AC21" s="138"/>
      <c r="AD21" s="138"/>
      <c r="AE21" s="138"/>
      <c r="AF21" s="147">
        <f t="shared" si="7"/>
        <v>2515.8</v>
      </c>
      <c r="AG21" s="210">
        <v>11</v>
      </c>
      <c r="AH21" s="138">
        <f>G21/E21*AG21</f>
        <v>721.81</v>
      </c>
      <c r="AI21" s="138">
        <f t="shared" si="13"/>
        <v>1793.99</v>
      </c>
      <c r="AJ21" s="138"/>
      <c r="AK21" s="138">
        <f>AH21*18%/2</f>
        <v>64.96</v>
      </c>
      <c r="AL21" s="138">
        <f>(AF21-AJ21)*18%-AK21</f>
        <v>387.88</v>
      </c>
      <c r="AM21" s="138"/>
      <c r="AN21" s="147">
        <f t="shared" si="14"/>
        <v>452.84</v>
      </c>
      <c r="AO21" s="138">
        <f t="shared" si="10"/>
        <v>10.83</v>
      </c>
      <c r="AP21" s="138">
        <f t="shared" si="15"/>
        <v>26.91</v>
      </c>
      <c r="AQ21" s="147">
        <f t="shared" si="16"/>
        <v>37.74</v>
      </c>
      <c r="AR21" s="147"/>
      <c r="AS21" s="138">
        <f t="shared" si="17"/>
        <v>25.16</v>
      </c>
      <c r="AT21" s="138">
        <f>AK21+AO21</f>
        <v>75.79</v>
      </c>
      <c r="AU21" s="138">
        <f t="shared" si="18"/>
        <v>439.95</v>
      </c>
      <c r="AV21" s="147">
        <f t="shared" si="19"/>
        <v>515.74</v>
      </c>
      <c r="AW21" s="138">
        <f t="shared" si="20"/>
        <v>646.02</v>
      </c>
      <c r="AX21" s="138">
        <f>AF21-(AV21+AW21)</f>
        <v>1354.04</v>
      </c>
      <c r="AY21" s="147">
        <f t="shared" si="21"/>
        <v>2000.06</v>
      </c>
      <c r="AZ21" s="138"/>
      <c r="BA21" s="138"/>
      <c r="BB21" s="147">
        <f t="shared" si="0"/>
        <v>0</v>
      </c>
      <c r="BC21" s="147">
        <f t="shared" si="22"/>
        <v>2000.06</v>
      </c>
      <c r="BD21" s="147">
        <f t="shared" si="23"/>
        <v>553.48</v>
      </c>
      <c r="BE21" s="142"/>
    </row>
    <row r="22" spans="1:57" ht="74.25" customHeight="1">
      <c r="A22" s="114"/>
      <c r="B22" s="148" t="s">
        <v>12</v>
      </c>
      <c r="C22" s="148">
        <f>SUM(C13:C21)</f>
        <v>8</v>
      </c>
      <c r="D22" s="148"/>
      <c r="E22" s="115"/>
      <c r="F22" s="149">
        <f>SUM(F12:F21)</f>
        <v>1260</v>
      </c>
      <c r="G22" s="157">
        <f>SUM(G12:G21)</f>
        <v>12749</v>
      </c>
      <c r="H22" s="157">
        <f>SUM(H12:H21)</f>
        <v>12060</v>
      </c>
      <c r="I22" s="157">
        <f aca="true" t="shared" si="24" ref="I22:BD22">SUM(I12:I21)</f>
        <v>0</v>
      </c>
      <c r="J22" s="157">
        <f t="shared" si="24"/>
        <v>12060</v>
      </c>
      <c r="K22" s="157"/>
      <c r="L22" s="157">
        <f t="shared" si="24"/>
        <v>1119.95</v>
      </c>
      <c r="M22" s="157">
        <f t="shared" si="24"/>
        <v>13179.95</v>
      </c>
      <c r="N22" s="157"/>
      <c r="O22" s="157">
        <f t="shared" si="24"/>
        <v>4746.87</v>
      </c>
      <c r="P22" s="157"/>
      <c r="Q22" s="157">
        <f t="shared" si="24"/>
        <v>344.5</v>
      </c>
      <c r="R22" s="157"/>
      <c r="S22" s="157">
        <f t="shared" si="24"/>
        <v>3981.45</v>
      </c>
      <c r="T22" s="157">
        <f t="shared" si="24"/>
        <v>0</v>
      </c>
      <c r="U22" s="157">
        <f t="shared" si="24"/>
        <v>1723</v>
      </c>
      <c r="V22" s="157">
        <f t="shared" si="24"/>
        <v>0</v>
      </c>
      <c r="W22" s="157">
        <f t="shared" si="24"/>
        <v>0</v>
      </c>
      <c r="X22" s="157">
        <f t="shared" si="24"/>
        <v>0</v>
      </c>
      <c r="Y22" s="157">
        <f t="shared" si="24"/>
        <v>0</v>
      </c>
      <c r="Z22" s="157">
        <f t="shared" si="24"/>
        <v>0</v>
      </c>
      <c r="AA22" s="159"/>
      <c r="AB22" s="157">
        <f t="shared" si="24"/>
        <v>485.09</v>
      </c>
      <c r="AC22" s="157">
        <f t="shared" si="24"/>
        <v>0</v>
      </c>
      <c r="AD22" s="157">
        <f t="shared" si="24"/>
        <v>0</v>
      </c>
      <c r="AE22" s="157">
        <f t="shared" si="24"/>
        <v>0</v>
      </c>
      <c r="AF22" s="157">
        <f>SUM(AF12:AF21)</f>
        <v>24460.86</v>
      </c>
      <c r="AG22" s="157"/>
      <c r="AH22" s="157">
        <f>SUM(AH12:AH21)</f>
        <v>5053.7</v>
      </c>
      <c r="AI22" s="157">
        <f>SUM(AI12:AI21)</f>
        <v>19407.16</v>
      </c>
      <c r="AJ22" s="157">
        <f>SUM(AJ12:AJ21)</f>
        <v>1722.5</v>
      </c>
      <c r="AK22" s="157">
        <f t="shared" si="24"/>
        <v>844.69</v>
      </c>
      <c r="AL22" s="157">
        <f t="shared" si="24"/>
        <v>3266.29</v>
      </c>
      <c r="AM22" s="157">
        <f t="shared" si="24"/>
        <v>0</v>
      </c>
      <c r="AN22" s="157">
        <f t="shared" si="24"/>
        <v>4110.98</v>
      </c>
      <c r="AO22" s="157">
        <f t="shared" si="24"/>
        <v>75.82</v>
      </c>
      <c r="AP22" s="157">
        <f t="shared" si="24"/>
        <v>291.09</v>
      </c>
      <c r="AQ22" s="157">
        <f t="shared" si="24"/>
        <v>366.91</v>
      </c>
      <c r="AR22" s="157">
        <f t="shared" si="24"/>
        <v>8.21</v>
      </c>
      <c r="AS22" s="157">
        <f t="shared" si="24"/>
        <v>244.63</v>
      </c>
      <c r="AT22" s="157">
        <f t="shared" si="24"/>
        <v>920.51</v>
      </c>
      <c r="AU22" s="157">
        <f t="shared" si="24"/>
        <v>3810.22</v>
      </c>
      <c r="AV22" s="157">
        <f t="shared" si="24"/>
        <v>4730.73</v>
      </c>
      <c r="AW22" s="157">
        <f t="shared" si="24"/>
        <v>4133.19</v>
      </c>
      <c r="AX22" s="157">
        <f t="shared" si="24"/>
        <v>10663.35</v>
      </c>
      <c r="AY22" s="157">
        <f t="shared" si="24"/>
        <v>14796.54</v>
      </c>
      <c r="AZ22" s="157">
        <f t="shared" si="24"/>
        <v>0</v>
      </c>
      <c r="BA22" s="157">
        <f t="shared" si="24"/>
        <v>4933.59</v>
      </c>
      <c r="BB22" s="157">
        <f t="shared" si="24"/>
        <v>4933.59</v>
      </c>
      <c r="BC22" s="157">
        <f t="shared" si="24"/>
        <v>19730.13</v>
      </c>
      <c r="BD22" s="157">
        <f t="shared" si="24"/>
        <v>5381.39</v>
      </c>
      <c r="BE22" s="129"/>
    </row>
    <row r="23" spans="1:57" ht="74.25" customHeight="1">
      <c r="A23" s="114"/>
      <c r="B23" s="148" t="s">
        <v>3</v>
      </c>
      <c r="C23" s="148">
        <f>C22+C11</f>
        <v>13</v>
      </c>
      <c r="D23" s="148"/>
      <c r="E23" s="149"/>
      <c r="F23" s="149">
        <f>F22+F11</f>
        <v>2068</v>
      </c>
      <c r="G23" s="126">
        <f>G22+G11</f>
        <v>23502</v>
      </c>
      <c r="H23" s="126">
        <f>H11+H22</f>
        <v>22484.81</v>
      </c>
      <c r="I23" s="134">
        <f>I22+I11</f>
        <v>326.43</v>
      </c>
      <c r="J23" s="134">
        <f>J22+J11</f>
        <v>22811.24</v>
      </c>
      <c r="K23" s="150"/>
      <c r="L23" s="134">
        <f>L22+L11</f>
        <v>2993.07</v>
      </c>
      <c r="M23" s="134">
        <f>M22+M11</f>
        <v>25804.31</v>
      </c>
      <c r="N23" s="134"/>
      <c r="O23" s="134">
        <f>O22+O11</f>
        <v>4746.87</v>
      </c>
      <c r="P23" s="134"/>
      <c r="Q23" s="134">
        <f>Q22+Q11</f>
        <v>344.5</v>
      </c>
      <c r="R23" s="134"/>
      <c r="S23" s="134">
        <f aca="true" t="shared" si="25" ref="S23:AI23">S22+S11</f>
        <v>14406.26</v>
      </c>
      <c r="T23" s="134">
        <f t="shared" si="25"/>
        <v>0</v>
      </c>
      <c r="U23" s="134">
        <f t="shared" si="25"/>
        <v>1723</v>
      </c>
      <c r="V23" s="134">
        <f t="shared" si="25"/>
        <v>0</v>
      </c>
      <c r="W23" s="135">
        <f t="shared" si="25"/>
        <v>0</v>
      </c>
      <c r="X23" s="134">
        <f t="shared" si="25"/>
        <v>0</v>
      </c>
      <c r="Y23" s="135">
        <f t="shared" si="25"/>
        <v>0</v>
      </c>
      <c r="Z23" s="134">
        <f t="shared" si="25"/>
        <v>0</v>
      </c>
      <c r="AA23" s="158"/>
      <c r="AB23" s="134">
        <f t="shared" si="25"/>
        <v>485.09</v>
      </c>
      <c r="AC23" s="134">
        <f t="shared" si="25"/>
        <v>0</v>
      </c>
      <c r="AD23" s="134">
        <f t="shared" si="25"/>
        <v>0</v>
      </c>
      <c r="AE23" s="134">
        <f t="shared" si="25"/>
        <v>0</v>
      </c>
      <c r="AF23" s="134">
        <f t="shared" si="25"/>
        <v>47510.03</v>
      </c>
      <c r="AG23" s="134"/>
      <c r="AH23" s="134">
        <f t="shared" si="25"/>
        <v>8496.69</v>
      </c>
      <c r="AI23" s="134">
        <f t="shared" si="25"/>
        <v>39013.34</v>
      </c>
      <c r="AJ23" s="134">
        <f>AJ22+AJ11</f>
        <v>1722.5</v>
      </c>
      <c r="AK23" s="134">
        <f>AK22+AK11</f>
        <v>1464.42</v>
      </c>
      <c r="AL23" s="134">
        <f>AL22+AL11</f>
        <v>6795.41</v>
      </c>
      <c r="AM23" s="134">
        <f>AM22+AM11</f>
        <v>0</v>
      </c>
      <c r="AN23" s="134">
        <f aca="true" t="shared" si="26" ref="AN23:AX23">AN22+AN11</f>
        <v>8259.83</v>
      </c>
      <c r="AO23" s="134">
        <f t="shared" si="26"/>
        <v>127.47</v>
      </c>
      <c r="AP23" s="134">
        <f t="shared" si="26"/>
        <v>585.18</v>
      </c>
      <c r="AQ23" s="134">
        <f t="shared" si="26"/>
        <v>712.65</v>
      </c>
      <c r="AR23" s="134">
        <f t="shared" si="26"/>
        <v>8.21</v>
      </c>
      <c r="AS23" s="134">
        <f t="shared" si="26"/>
        <v>475.13</v>
      </c>
      <c r="AT23" s="134">
        <f t="shared" si="26"/>
        <v>1591.89</v>
      </c>
      <c r="AU23" s="134">
        <f t="shared" si="26"/>
        <v>7863.93</v>
      </c>
      <c r="AV23" s="134">
        <f t="shared" si="26"/>
        <v>9455.82</v>
      </c>
      <c r="AW23" s="134">
        <f t="shared" si="26"/>
        <v>6904.8</v>
      </c>
      <c r="AX23" s="134">
        <f t="shared" si="26"/>
        <v>26215.82</v>
      </c>
      <c r="AY23" s="126">
        <f>SUM(AW23:AX23)</f>
        <v>33120.62</v>
      </c>
      <c r="AZ23" s="134">
        <f>AZ22+AZ11</f>
        <v>0</v>
      </c>
      <c r="BA23" s="134">
        <f>BA22+BA11</f>
        <v>4933.59</v>
      </c>
      <c r="BB23" s="126">
        <f t="shared" si="0"/>
        <v>4933.59</v>
      </c>
      <c r="BC23" s="126">
        <f>AY23+BB23</f>
        <v>38054.21</v>
      </c>
      <c r="BD23" s="128">
        <f>AF23*22%</f>
        <v>10452.21</v>
      </c>
      <c r="BE23" s="129"/>
    </row>
    <row r="24" spans="1:57" ht="74.25" customHeight="1">
      <c r="A24" s="114"/>
      <c r="B24" s="101"/>
      <c r="C24" s="101"/>
      <c r="D24" s="101"/>
      <c r="E24" s="115"/>
      <c r="F24" s="115"/>
      <c r="G24" s="116"/>
      <c r="H24" s="117"/>
      <c r="I24" s="118"/>
      <c r="J24" s="118"/>
      <c r="K24" s="119"/>
      <c r="L24" s="116"/>
      <c r="M24" s="116"/>
      <c r="N24" s="139"/>
      <c r="O24" s="116"/>
      <c r="P24" s="116"/>
      <c r="Q24" s="120"/>
      <c r="R24" s="119"/>
      <c r="S24" s="116"/>
      <c r="T24" s="118"/>
      <c r="U24" s="118"/>
      <c r="V24" s="118"/>
      <c r="W24" s="111"/>
      <c r="X24" s="118"/>
      <c r="Y24" s="121"/>
      <c r="Z24" s="116"/>
      <c r="AA24" s="121"/>
      <c r="AB24" s="116"/>
      <c r="AC24" s="116"/>
      <c r="AD24" s="116"/>
      <c r="AE24" s="124"/>
      <c r="AF24" s="122"/>
      <c r="AG24" s="123"/>
      <c r="AH24" s="124"/>
      <c r="AI24" s="118"/>
      <c r="AJ24" s="116"/>
      <c r="AK24" s="116"/>
      <c r="AL24" s="116"/>
      <c r="AM24" s="116"/>
      <c r="AN24" s="125"/>
      <c r="AO24" s="116"/>
      <c r="AP24" s="116"/>
      <c r="AQ24" s="125"/>
      <c r="AR24" s="125"/>
      <c r="AS24" s="116"/>
      <c r="AT24" s="116"/>
      <c r="AU24" s="116"/>
      <c r="AV24" s="125"/>
      <c r="AW24" s="124"/>
      <c r="AX24" s="124"/>
      <c r="AY24" s="126"/>
      <c r="AZ24" s="127"/>
      <c r="BA24" s="124"/>
      <c r="BB24" s="126"/>
      <c r="BC24" s="126"/>
      <c r="BD24" s="128"/>
      <c r="BE24" s="129"/>
    </row>
    <row r="25" spans="1:57" ht="74.2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0"/>
      <c r="U25" s="110"/>
      <c r="V25" s="110"/>
      <c r="W25" s="110"/>
      <c r="X25" s="110"/>
      <c r="Y25" s="114"/>
      <c r="Z25" s="114"/>
      <c r="AA25" s="114"/>
      <c r="AB25" s="114"/>
      <c r="AC25" s="114"/>
      <c r="AD25" s="114"/>
      <c r="AE25" s="114"/>
      <c r="AF25" s="128"/>
      <c r="AG25" s="128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6"/>
      <c r="AY25" s="116"/>
      <c r="AZ25" s="114"/>
      <c r="BA25" s="151"/>
      <c r="BB25" s="116"/>
      <c r="BC25" s="116"/>
      <c r="BD25" s="128">
        <f>BD24+BD23</f>
        <v>10452.21</v>
      </c>
      <c r="BE25" s="129"/>
    </row>
    <row r="26" spans="20:57" ht="74.25" customHeight="1">
      <c r="T26" s="143"/>
      <c r="U26" s="143"/>
      <c r="V26" s="143"/>
      <c r="W26" s="143"/>
      <c r="X26" s="143"/>
      <c r="AF26" s="152"/>
      <c r="BE26" s="129"/>
    </row>
    <row r="27" spans="20:57" ht="74.25" customHeight="1">
      <c r="T27" s="143"/>
      <c r="U27" s="143"/>
      <c r="V27" s="143"/>
      <c r="W27" s="143"/>
      <c r="X27" s="143"/>
      <c r="BE27" s="129"/>
    </row>
    <row r="28" spans="20:57" ht="74.25" customHeight="1">
      <c r="T28" s="143"/>
      <c r="U28" s="143"/>
      <c r="V28" s="143"/>
      <c r="W28" s="143"/>
      <c r="X28" s="143"/>
      <c r="BE28" s="129"/>
    </row>
    <row r="29" spans="20:57" ht="74.25" customHeight="1">
      <c r="T29" s="143"/>
      <c r="U29" s="143"/>
      <c r="V29" s="143"/>
      <c r="W29" s="143"/>
      <c r="X29" s="143"/>
      <c r="BE29" s="129"/>
    </row>
    <row r="30" spans="20:57" ht="74.25" customHeight="1">
      <c r="T30" s="143"/>
      <c r="U30" s="143"/>
      <c r="V30" s="143"/>
      <c r="W30" s="143"/>
      <c r="X30" s="143"/>
      <c r="BE30" s="129"/>
    </row>
    <row r="31" spans="20:57" ht="74.25" customHeight="1">
      <c r="T31" s="143"/>
      <c r="U31" s="143"/>
      <c r="V31" s="143"/>
      <c r="W31" s="143"/>
      <c r="X31" s="143"/>
      <c r="BE31" s="129"/>
    </row>
    <row r="32" spans="20:57" ht="74.25" customHeight="1">
      <c r="T32" s="143"/>
      <c r="U32" s="143"/>
      <c r="V32" s="143"/>
      <c r="W32" s="143"/>
      <c r="X32" s="143"/>
      <c r="BE32" s="129"/>
    </row>
    <row r="33" spans="20:57" ht="74.25" customHeight="1">
      <c r="T33" s="143"/>
      <c r="U33" s="143"/>
      <c r="V33" s="143"/>
      <c r="W33" s="143"/>
      <c r="X33" s="143"/>
      <c r="BE33" s="129"/>
    </row>
    <row r="34" spans="20:57" ht="74.25" customHeight="1">
      <c r="T34" s="143"/>
      <c r="U34" s="143"/>
      <c r="V34" s="143"/>
      <c r="W34" s="143"/>
      <c r="X34" s="143"/>
      <c r="BE34" s="129"/>
    </row>
    <row r="35" spans="20:57" ht="74.25" customHeight="1">
      <c r="T35" s="143"/>
      <c r="U35" s="143"/>
      <c r="V35" s="143"/>
      <c r="W35" s="143"/>
      <c r="X35" s="143"/>
      <c r="BE35" s="129"/>
    </row>
    <row r="36" spans="20:57" ht="74.25" customHeight="1">
      <c r="T36" s="143"/>
      <c r="U36" s="143"/>
      <c r="V36" s="143"/>
      <c r="W36" s="143"/>
      <c r="X36" s="143"/>
      <c r="BE36" s="129"/>
    </row>
    <row r="37" spans="20:57" ht="74.25" customHeight="1">
      <c r="T37" s="143"/>
      <c r="U37" s="143"/>
      <c r="V37" s="143"/>
      <c r="W37" s="143"/>
      <c r="X37" s="143"/>
      <c r="BE37" s="129"/>
    </row>
    <row r="38" spans="20:57" ht="74.25" customHeight="1">
      <c r="T38" s="143"/>
      <c r="U38" s="143"/>
      <c r="V38" s="143"/>
      <c r="W38" s="143"/>
      <c r="X38" s="143"/>
      <c r="BE38" s="129"/>
    </row>
    <row r="39" spans="20:24" ht="74.25" customHeight="1">
      <c r="T39" s="143"/>
      <c r="U39" s="143"/>
      <c r="V39" s="143"/>
      <c r="W39" s="143"/>
      <c r="X39" s="143"/>
    </row>
    <row r="40" spans="20:24" ht="74.25" customHeight="1">
      <c r="T40" s="143"/>
      <c r="U40" s="143"/>
      <c r="V40" s="143"/>
      <c r="W40" s="143"/>
      <c r="X40" s="143"/>
    </row>
    <row r="41" spans="20:24" ht="74.25" customHeight="1">
      <c r="T41" s="143"/>
      <c r="U41" s="143"/>
      <c r="V41" s="143"/>
      <c r="W41" s="143"/>
      <c r="X41" s="143"/>
    </row>
  </sheetData>
  <sheetProtection/>
  <mergeCells count="49">
    <mergeCell ref="AY4:AY5"/>
    <mergeCell ref="AZ4:BA4"/>
    <mergeCell ref="BB4:BB5"/>
    <mergeCell ref="AO4:AP4"/>
    <mergeCell ref="AQ4:AQ5"/>
    <mergeCell ref="AR4:AR5"/>
    <mergeCell ref="AS4:AS5"/>
    <mergeCell ref="AT4:AV4"/>
    <mergeCell ref="AW4:AX4"/>
    <mergeCell ref="AH3:AH5"/>
    <mergeCell ref="AI3:AI5"/>
    <mergeCell ref="AJ3:AV3"/>
    <mergeCell ref="AW3:BB3"/>
    <mergeCell ref="BC3:BC5"/>
    <mergeCell ref="BD3:BD5"/>
    <mergeCell ref="AJ4:AJ5"/>
    <mergeCell ref="AK4:AL4"/>
    <mergeCell ref="AM4:AM5"/>
    <mergeCell ref="AN4:AN5"/>
    <mergeCell ref="AA3:AB4"/>
    <mergeCell ref="AC3:AC5"/>
    <mergeCell ref="AD3:AD5"/>
    <mergeCell ref="AE3:AE5"/>
    <mergeCell ref="AF3:AF5"/>
    <mergeCell ref="AG3:AG5"/>
    <mergeCell ref="T3:T5"/>
    <mergeCell ref="U3:U5"/>
    <mergeCell ref="V3:V5"/>
    <mergeCell ref="W3:Z3"/>
    <mergeCell ref="N4:O4"/>
    <mergeCell ref="P4:Q4"/>
    <mergeCell ref="W4:X4"/>
    <mergeCell ref="Y4:Z4"/>
    <mergeCell ref="I3:I5"/>
    <mergeCell ref="J3:J5"/>
    <mergeCell ref="K3:L4"/>
    <mergeCell ref="M3:M5"/>
    <mergeCell ref="N3:Q3"/>
    <mergeCell ref="R3:S4"/>
    <mergeCell ref="A1:Z1"/>
    <mergeCell ref="AF1:BB1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6" r:id="rId2"/>
  <colBreaks count="1" manualBreakCount="1">
    <brk id="35" max="2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39"/>
  <sheetViews>
    <sheetView view="pageBreakPreview" zoomScale="30" zoomScaleNormal="30" zoomScaleSheetLayoutView="30" zoomScalePageLayoutView="0" workbookViewId="0" topLeftCell="W16">
      <selection activeCell="AG19" sqref="AG19"/>
    </sheetView>
  </sheetViews>
  <sheetFormatPr defaultColWidth="15.7109375" defaultRowHeight="74.25" customHeight="1"/>
  <cols>
    <col min="1" max="1" width="10.28125" style="100" customWidth="1"/>
    <col min="2" max="2" width="49.140625" style="100" customWidth="1"/>
    <col min="3" max="3" width="15.28125" style="100" customWidth="1"/>
    <col min="4" max="4" width="50.140625" style="100" customWidth="1"/>
    <col min="5" max="5" width="21.00390625" style="100" customWidth="1"/>
    <col min="6" max="6" width="19.7109375" style="100" customWidth="1"/>
    <col min="7" max="7" width="37.8515625" style="100" customWidth="1"/>
    <col min="8" max="8" width="35.00390625" style="100" customWidth="1"/>
    <col min="9" max="9" width="24.00390625" style="100" customWidth="1"/>
    <col min="10" max="10" width="27.140625" style="100" customWidth="1"/>
    <col min="11" max="11" width="19.00390625" style="100" customWidth="1"/>
    <col min="12" max="12" width="22.8515625" style="100" customWidth="1"/>
    <col min="13" max="13" width="25.421875" style="100" customWidth="1"/>
    <col min="14" max="14" width="15.7109375" style="100" customWidth="1"/>
    <col min="15" max="15" width="26.8515625" style="100" customWidth="1"/>
    <col min="16" max="16" width="18.28125" style="100" customWidth="1"/>
    <col min="17" max="17" width="22.28125" style="100" customWidth="1"/>
    <col min="18" max="18" width="18.00390625" style="100" customWidth="1"/>
    <col min="19" max="19" width="28.140625" style="100" customWidth="1"/>
    <col min="20" max="20" width="20.421875" style="100" customWidth="1"/>
    <col min="21" max="21" width="25.8515625" style="100" customWidth="1"/>
    <col min="22" max="22" width="23.57421875" style="100" customWidth="1"/>
    <col min="23" max="23" width="15.7109375" style="100" customWidth="1"/>
    <col min="24" max="24" width="22.421875" style="100" customWidth="1"/>
    <col min="25" max="25" width="15.7109375" style="100" customWidth="1"/>
    <col min="26" max="26" width="23.140625" style="100" customWidth="1"/>
    <col min="27" max="27" width="15.7109375" style="100" customWidth="1"/>
    <col min="28" max="28" width="24.00390625" style="100" customWidth="1"/>
    <col min="29" max="30" width="25.00390625" style="100" customWidth="1"/>
    <col min="31" max="31" width="24.28125" style="100" customWidth="1"/>
    <col min="32" max="32" width="23.7109375" style="100" customWidth="1"/>
    <col min="33" max="33" width="39.57421875" style="153" customWidth="1"/>
    <col min="34" max="34" width="31.7109375" style="153" customWidth="1"/>
    <col min="35" max="37" width="31.7109375" style="100" customWidth="1"/>
    <col min="38" max="38" width="41.7109375" style="100" customWidth="1"/>
    <col min="39" max="48" width="31.7109375" style="100" customWidth="1"/>
    <col min="49" max="49" width="34.7109375" style="100" customWidth="1"/>
    <col min="50" max="50" width="37.00390625" style="100" customWidth="1"/>
    <col min="51" max="51" width="33.28125" style="100" customWidth="1"/>
    <col min="52" max="52" width="35.57421875" style="100" customWidth="1"/>
    <col min="53" max="53" width="28.421875" style="100" customWidth="1"/>
    <col min="54" max="54" width="28.421875" style="153" customWidth="1"/>
    <col min="55" max="55" width="31.28125" style="100" customWidth="1"/>
    <col min="56" max="57" width="38.00390625" style="100" customWidth="1"/>
    <col min="58" max="16384" width="15.7109375" style="100" customWidth="1"/>
  </cols>
  <sheetData>
    <row r="1" spans="1:59" ht="74.25" customHeight="1">
      <c r="A1" s="379" t="s">
        <v>103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9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99"/>
      <c r="BE1" s="99"/>
      <c r="BF1" s="99"/>
      <c r="BG1" s="99"/>
    </row>
    <row r="2" spans="1:59" ht="74.25" customHeight="1">
      <c r="A2" s="155" t="s">
        <v>96</v>
      </c>
      <c r="B2" s="155"/>
      <c r="C2" s="155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6"/>
      <c r="AC2" s="156"/>
      <c r="AD2" s="156"/>
      <c r="AE2" s="156"/>
      <c r="AF2" s="156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4"/>
      <c r="BE2" s="154"/>
      <c r="BF2" s="99"/>
      <c r="BG2" s="99"/>
    </row>
    <row r="3" spans="1:57" ht="74.25" customHeight="1">
      <c r="A3" s="380" t="s">
        <v>0</v>
      </c>
      <c r="B3" s="380" t="s">
        <v>40</v>
      </c>
      <c r="C3" s="381" t="s">
        <v>53</v>
      </c>
      <c r="D3" s="380" t="s">
        <v>21</v>
      </c>
      <c r="E3" s="380" t="s">
        <v>1</v>
      </c>
      <c r="F3" s="380" t="s">
        <v>2</v>
      </c>
      <c r="G3" s="384" t="s">
        <v>65</v>
      </c>
      <c r="H3" s="384" t="s">
        <v>66</v>
      </c>
      <c r="I3" s="387" t="s">
        <v>7</v>
      </c>
      <c r="J3" s="387" t="s">
        <v>6</v>
      </c>
      <c r="K3" s="388" t="s">
        <v>8</v>
      </c>
      <c r="L3" s="389"/>
      <c r="M3" s="387" t="s">
        <v>6</v>
      </c>
      <c r="N3" s="388" t="s">
        <v>9</v>
      </c>
      <c r="O3" s="392"/>
      <c r="P3" s="392"/>
      <c r="Q3" s="392"/>
      <c r="R3" s="388" t="s">
        <v>10</v>
      </c>
      <c r="S3" s="389"/>
      <c r="T3" s="393" t="s">
        <v>99</v>
      </c>
      <c r="U3" s="396" t="s">
        <v>80</v>
      </c>
      <c r="V3" s="399" t="s">
        <v>47</v>
      </c>
      <c r="W3" s="388" t="s">
        <v>26</v>
      </c>
      <c r="X3" s="392"/>
      <c r="Y3" s="392"/>
      <c r="Z3" s="389"/>
      <c r="AA3" s="388" t="s">
        <v>106</v>
      </c>
      <c r="AB3" s="389"/>
      <c r="AC3" s="381" t="s">
        <v>98</v>
      </c>
      <c r="AD3" s="381" t="s">
        <v>160</v>
      </c>
      <c r="AE3" s="406" t="s">
        <v>55</v>
      </c>
      <c r="AF3" s="381" t="s">
        <v>77</v>
      </c>
      <c r="AG3" s="409" t="s">
        <v>13</v>
      </c>
      <c r="AH3" s="410" t="s">
        <v>68</v>
      </c>
      <c r="AI3" s="433" t="s">
        <v>31</v>
      </c>
      <c r="AJ3" s="414" t="s">
        <v>32</v>
      </c>
      <c r="AK3" s="417" t="s">
        <v>72</v>
      </c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8" t="s">
        <v>18</v>
      </c>
      <c r="AY3" s="419"/>
      <c r="AZ3" s="419"/>
      <c r="BA3" s="419"/>
      <c r="BB3" s="419"/>
      <c r="BC3" s="420"/>
      <c r="BD3" s="421" t="s">
        <v>73</v>
      </c>
      <c r="BE3" s="411" t="s">
        <v>84</v>
      </c>
    </row>
    <row r="4" spans="1:57" ht="74.25" customHeight="1">
      <c r="A4" s="380"/>
      <c r="B4" s="380"/>
      <c r="C4" s="382"/>
      <c r="D4" s="380"/>
      <c r="E4" s="380"/>
      <c r="F4" s="380"/>
      <c r="G4" s="385"/>
      <c r="H4" s="385"/>
      <c r="I4" s="387"/>
      <c r="J4" s="387"/>
      <c r="K4" s="390"/>
      <c r="L4" s="391"/>
      <c r="M4" s="387"/>
      <c r="N4" s="380" t="s">
        <v>24</v>
      </c>
      <c r="O4" s="380"/>
      <c r="P4" s="380" t="s">
        <v>25</v>
      </c>
      <c r="Q4" s="380"/>
      <c r="R4" s="390"/>
      <c r="S4" s="391"/>
      <c r="T4" s="394"/>
      <c r="U4" s="397"/>
      <c r="V4" s="400"/>
      <c r="W4" s="402" t="s">
        <v>28</v>
      </c>
      <c r="X4" s="403"/>
      <c r="Y4" s="402" t="s">
        <v>29</v>
      </c>
      <c r="Z4" s="403"/>
      <c r="AA4" s="404"/>
      <c r="AB4" s="405"/>
      <c r="AC4" s="382"/>
      <c r="AD4" s="382"/>
      <c r="AE4" s="407"/>
      <c r="AF4" s="382"/>
      <c r="AG4" s="409"/>
      <c r="AH4" s="410"/>
      <c r="AI4" s="434"/>
      <c r="AJ4" s="415"/>
      <c r="AK4" s="424" t="s">
        <v>64</v>
      </c>
      <c r="AL4" s="402" t="s">
        <v>54</v>
      </c>
      <c r="AM4" s="403"/>
      <c r="AN4" s="381" t="s">
        <v>63</v>
      </c>
      <c r="AO4" s="381" t="s">
        <v>51</v>
      </c>
      <c r="AP4" s="388" t="s">
        <v>69</v>
      </c>
      <c r="AQ4" s="389"/>
      <c r="AR4" s="384" t="s">
        <v>70</v>
      </c>
      <c r="AS4" s="384" t="s">
        <v>83</v>
      </c>
      <c r="AT4" s="384" t="s">
        <v>71</v>
      </c>
      <c r="AU4" s="430" t="s">
        <v>17</v>
      </c>
      <c r="AV4" s="431"/>
      <c r="AW4" s="432"/>
      <c r="AX4" s="418" t="s">
        <v>19</v>
      </c>
      <c r="AY4" s="420"/>
      <c r="AZ4" s="426" t="s">
        <v>33</v>
      </c>
      <c r="BA4" s="418" t="s">
        <v>20</v>
      </c>
      <c r="BB4" s="420"/>
      <c r="BC4" s="428" t="s">
        <v>33</v>
      </c>
      <c r="BD4" s="422"/>
      <c r="BE4" s="412"/>
    </row>
    <row r="5" spans="1:57" ht="74.25" customHeight="1">
      <c r="A5" s="380"/>
      <c r="B5" s="380"/>
      <c r="C5" s="383"/>
      <c r="D5" s="380"/>
      <c r="E5" s="380"/>
      <c r="F5" s="380"/>
      <c r="G5" s="386"/>
      <c r="H5" s="386"/>
      <c r="I5" s="387"/>
      <c r="J5" s="387"/>
      <c r="K5" s="162" t="s">
        <v>22</v>
      </c>
      <c r="L5" s="101" t="s">
        <v>23</v>
      </c>
      <c r="M5" s="387"/>
      <c r="N5" s="162" t="s">
        <v>22</v>
      </c>
      <c r="O5" s="101" t="s">
        <v>23</v>
      </c>
      <c r="P5" s="109" t="s">
        <v>22</v>
      </c>
      <c r="Q5" s="109" t="s">
        <v>23</v>
      </c>
      <c r="R5" s="162" t="s">
        <v>22</v>
      </c>
      <c r="S5" s="101" t="s">
        <v>23</v>
      </c>
      <c r="T5" s="395"/>
      <c r="U5" s="398"/>
      <c r="V5" s="401"/>
      <c r="W5" s="110" t="s">
        <v>27</v>
      </c>
      <c r="X5" s="110" t="s">
        <v>23</v>
      </c>
      <c r="Y5" s="111" t="s">
        <v>27</v>
      </c>
      <c r="Z5" s="110" t="s">
        <v>23</v>
      </c>
      <c r="AA5" s="110" t="s">
        <v>27</v>
      </c>
      <c r="AB5" s="110" t="s">
        <v>23</v>
      </c>
      <c r="AC5" s="383"/>
      <c r="AD5" s="383"/>
      <c r="AE5" s="408"/>
      <c r="AF5" s="383"/>
      <c r="AG5" s="409"/>
      <c r="AH5" s="410"/>
      <c r="AI5" s="435"/>
      <c r="AJ5" s="416"/>
      <c r="AK5" s="425"/>
      <c r="AL5" s="101" t="s">
        <v>15</v>
      </c>
      <c r="AM5" s="101" t="s">
        <v>16</v>
      </c>
      <c r="AN5" s="383"/>
      <c r="AO5" s="383"/>
      <c r="AP5" s="102" t="s">
        <v>15</v>
      </c>
      <c r="AQ5" s="101" t="s">
        <v>16</v>
      </c>
      <c r="AR5" s="386"/>
      <c r="AS5" s="386"/>
      <c r="AT5" s="386"/>
      <c r="AU5" s="102" t="s">
        <v>15</v>
      </c>
      <c r="AV5" s="101" t="s">
        <v>16</v>
      </c>
      <c r="AW5" s="104" t="s">
        <v>73</v>
      </c>
      <c r="AX5" s="112" t="s">
        <v>15</v>
      </c>
      <c r="AY5" s="113" t="s">
        <v>16</v>
      </c>
      <c r="AZ5" s="427"/>
      <c r="BA5" s="112" t="s">
        <v>15</v>
      </c>
      <c r="BB5" s="113" t="s">
        <v>16</v>
      </c>
      <c r="BC5" s="429"/>
      <c r="BD5" s="423"/>
      <c r="BE5" s="413"/>
    </row>
    <row r="6" spans="1:58" ht="74.25" customHeight="1">
      <c r="A6" s="114">
        <v>1</v>
      </c>
      <c r="B6" s="107" t="s">
        <v>60</v>
      </c>
      <c r="C6" s="101">
        <v>1</v>
      </c>
      <c r="D6" s="108" t="s">
        <v>89</v>
      </c>
      <c r="E6" s="115">
        <v>19</v>
      </c>
      <c r="F6" s="115">
        <v>152</v>
      </c>
      <c r="G6" s="116">
        <v>3127</v>
      </c>
      <c r="H6" s="117">
        <f>G6/19*E6</f>
        <v>3127</v>
      </c>
      <c r="I6" s="118">
        <v>90</v>
      </c>
      <c r="J6" s="118">
        <f>H6+I6</f>
        <v>3217</v>
      </c>
      <c r="K6" s="119"/>
      <c r="L6" s="116"/>
      <c r="M6" s="116">
        <f>J6+L6</f>
        <v>3217</v>
      </c>
      <c r="N6" s="116"/>
      <c r="O6" s="116"/>
      <c r="P6" s="116"/>
      <c r="Q6" s="120"/>
      <c r="R6" s="119">
        <v>1</v>
      </c>
      <c r="S6" s="116">
        <f>H6*R6</f>
        <v>3127</v>
      </c>
      <c r="T6" s="118"/>
      <c r="U6" s="118"/>
      <c r="V6" s="118"/>
      <c r="W6" s="111"/>
      <c r="X6" s="118"/>
      <c r="Y6" s="121"/>
      <c r="Z6" s="116"/>
      <c r="AA6" s="121"/>
      <c r="AB6" s="116"/>
      <c r="AC6" s="116"/>
      <c r="AD6" s="116"/>
      <c r="AE6" s="116"/>
      <c r="AF6" s="116"/>
      <c r="AG6" s="122">
        <f>AB6+Z6+X6+V6+S6+Q6+O6+M6+T6+AC6+AF6+U6+AE6</f>
        <v>6344</v>
      </c>
      <c r="AH6" s="123">
        <v>7</v>
      </c>
      <c r="AI6" s="160">
        <f>G6/E6*AH6</f>
        <v>1152.05</v>
      </c>
      <c r="AJ6" s="118">
        <f>AG6-AI6</f>
        <v>5191.95</v>
      </c>
      <c r="AK6" s="116"/>
      <c r="AL6" s="116">
        <f>AI6*18%</f>
        <v>207.37</v>
      </c>
      <c r="AM6" s="116">
        <f>(AG6-AK6)*18%-AL6</f>
        <v>934.55</v>
      </c>
      <c r="AN6" s="116"/>
      <c r="AO6" s="125">
        <f>SUM(AL6:AN6)</f>
        <v>1141.92</v>
      </c>
      <c r="AP6" s="116">
        <f>AI6*1.5%</f>
        <v>17.28</v>
      </c>
      <c r="AQ6" s="116">
        <f>AG6*1.5%-AP6</f>
        <v>77.88</v>
      </c>
      <c r="AR6" s="125">
        <f>AP6+AQ6</f>
        <v>95.16</v>
      </c>
      <c r="AS6" s="125"/>
      <c r="AT6" s="116">
        <f>AG6*1%</f>
        <v>63.44</v>
      </c>
      <c r="AU6" s="116">
        <f>AL6+AP6</f>
        <v>224.65</v>
      </c>
      <c r="AV6" s="116">
        <f>AM6+AN6+AQ6+AT6</f>
        <v>1075.87</v>
      </c>
      <c r="AW6" s="125">
        <f>AO6+AR6+AT6</f>
        <v>1300.52</v>
      </c>
      <c r="AX6" s="124">
        <f>AI6-(AL6+AP6)</f>
        <v>927.4</v>
      </c>
      <c r="AY6" s="124">
        <f>AG6-(AW6+AX6)</f>
        <v>4116.08</v>
      </c>
      <c r="AZ6" s="126">
        <f>SUM(AX6:AY6)</f>
        <v>5043.48</v>
      </c>
      <c r="BA6" s="127"/>
      <c r="BB6" s="124"/>
      <c r="BC6" s="126">
        <f>SUM(BA6:BB6)</f>
        <v>0</v>
      </c>
      <c r="BD6" s="126">
        <f>AZ6+BC6</f>
        <v>5043.48</v>
      </c>
      <c r="BE6" s="128">
        <f>AG6*22%</f>
        <v>1395.68</v>
      </c>
      <c r="BF6" s="129"/>
    </row>
    <row r="7" spans="1:58" ht="74.25" customHeight="1">
      <c r="A7" s="114">
        <v>2</v>
      </c>
      <c r="B7" s="107" t="s">
        <v>34</v>
      </c>
      <c r="C7" s="101">
        <v>1</v>
      </c>
      <c r="D7" s="108" t="s">
        <v>90</v>
      </c>
      <c r="E7" s="115">
        <v>19</v>
      </c>
      <c r="F7" s="115">
        <v>152</v>
      </c>
      <c r="G7" s="116">
        <v>2457</v>
      </c>
      <c r="H7" s="117">
        <f>G7/19*E7</f>
        <v>2457</v>
      </c>
      <c r="I7" s="118">
        <f>90</f>
        <v>90</v>
      </c>
      <c r="J7" s="118">
        <f>H7+I7</f>
        <v>2547</v>
      </c>
      <c r="K7" s="119">
        <v>0.4</v>
      </c>
      <c r="L7" s="116">
        <f>J7*K7</f>
        <v>1018.8</v>
      </c>
      <c r="M7" s="116">
        <f>J7+L7</f>
        <v>3565.8</v>
      </c>
      <c r="N7" s="116"/>
      <c r="O7" s="116"/>
      <c r="P7" s="116"/>
      <c r="Q7" s="120"/>
      <c r="R7" s="119">
        <v>1</v>
      </c>
      <c r="S7" s="116">
        <f>H7*R7</f>
        <v>2457</v>
      </c>
      <c r="T7" s="118"/>
      <c r="U7" s="118"/>
      <c r="V7" s="118"/>
      <c r="W7" s="111"/>
      <c r="X7" s="118"/>
      <c r="Y7" s="121"/>
      <c r="Z7" s="116"/>
      <c r="AA7" s="121"/>
      <c r="AB7" s="116"/>
      <c r="AC7" s="116"/>
      <c r="AD7" s="116"/>
      <c r="AE7" s="116"/>
      <c r="AF7" s="116"/>
      <c r="AG7" s="122">
        <f>AB7+Z7+X7+V7+S7+Q7+O7+M7+T7+AC7+AF7+U7+AE7</f>
        <v>6022.8</v>
      </c>
      <c r="AH7" s="123"/>
      <c r="AI7" s="160">
        <f>G7/E7*AH7</f>
        <v>0</v>
      </c>
      <c r="AJ7" s="118">
        <f>AG7-AI7</f>
        <v>6022.8</v>
      </c>
      <c r="AK7" s="116"/>
      <c r="AL7" s="116">
        <f>AI7*18%</f>
        <v>0</v>
      </c>
      <c r="AM7" s="116">
        <f>(AG7-AK7)*18%-AL7</f>
        <v>1084.1</v>
      </c>
      <c r="AN7" s="116"/>
      <c r="AO7" s="125">
        <f>SUM(AL7:AN7)</f>
        <v>1084.1</v>
      </c>
      <c r="AP7" s="116">
        <f>AI7*1.5%</f>
        <v>0</v>
      </c>
      <c r="AQ7" s="116">
        <f>AG7*1.5%-AP7</f>
        <v>90.34</v>
      </c>
      <c r="AR7" s="125">
        <f>AP7+AQ7</f>
        <v>90.34</v>
      </c>
      <c r="AS7" s="125"/>
      <c r="AT7" s="116">
        <f>AG7*1%</f>
        <v>60.23</v>
      </c>
      <c r="AU7" s="116">
        <f>AL7+AP7</f>
        <v>0</v>
      </c>
      <c r="AV7" s="116">
        <f>AM7+AN7+AQ7+AT7</f>
        <v>1234.67</v>
      </c>
      <c r="AW7" s="125">
        <f>AO7+AR7+AT7</f>
        <v>1234.67</v>
      </c>
      <c r="AX7" s="124">
        <f>AI7-(AL7+AP7)</f>
        <v>0</v>
      </c>
      <c r="AY7" s="124">
        <f>AG7-(AW7+AX7)</f>
        <v>4788.13</v>
      </c>
      <c r="AZ7" s="126">
        <f>SUM(AX7:AY7)</f>
        <v>4788.13</v>
      </c>
      <c r="BA7" s="127"/>
      <c r="BB7" s="124"/>
      <c r="BC7" s="126">
        <f aca="true" t="shared" si="0" ref="BC7:BC21">SUM(BA7:BB7)</f>
        <v>0</v>
      </c>
      <c r="BD7" s="126">
        <f>AZ7+BC7</f>
        <v>4788.13</v>
      </c>
      <c r="BE7" s="128">
        <f>AG7*22%</f>
        <v>1325.02</v>
      </c>
      <c r="BF7" s="129"/>
    </row>
    <row r="8" spans="1:58" ht="74.25" customHeight="1">
      <c r="A8" s="114">
        <v>3</v>
      </c>
      <c r="B8" s="107" t="s">
        <v>36</v>
      </c>
      <c r="C8" s="101">
        <v>1</v>
      </c>
      <c r="D8" s="108" t="s">
        <v>91</v>
      </c>
      <c r="E8" s="115">
        <v>19</v>
      </c>
      <c r="F8" s="115">
        <v>152</v>
      </c>
      <c r="G8" s="116">
        <v>1723</v>
      </c>
      <c r="H8" s="117">
        <f>G8/19*E8</f>
        <v>1723</v>
      </c>
      <c r="I8" s="118">
        <f>55</f>
        <v>55</v>
      </c>
      <c r="J8" s="118">
        <f>H8+I8</f>
        <v>1778</v>
      </c>
      <c r="K8" s="119">
        <v>0.15</v>
      </c>
      <c r="L8" s="116">
        <f>J8*K8</f>
        <v>266.7</v>
      </c>
      <c r="M8" s="116">
        <f>J8+L8</f>
        <v>2044.7</v>
      </c>
      <c r="N8" s="116"/>
      <c r="O8" s="116"/>
      <c r="P8" s="116"/>
      <c r="Q8" s="120"/>
      <c r="R8" s="119">
        <v>1</v>
      </c>
      <c r="S8" s="116">
        <f>H8*R8</f>
        <v>1723</v>
      </c>
      <c r="T8" s="118"/>
      <c r="U8" s="118"/>
      <c r="V8" s="118"/>
      <c r="W8" s="111"/>
      <c r="X8" s="118"/>
      <c r="Y8" s="121"/>
      <c r="Z8" s="116"/>
      <c r="AA8" s="121"/>
      <c r="AB8" s="116"/>
      <c r="AC8" s="116"/>
      <c r="AD8" s="116"/>
      <c r="AE8" s="116"/>
      <c r="AF8" s="116"/>
      <c r="AG8" s="122">
        <f>AB8+Z8+X8+V8+S8+Q8+O8+M8+T8+AC8+AF8+U8+AE8</f>
        <v>3767.7</v>
      </c>
      <c r="AH8" s="123">
        <v>7</v>
      </c>
      <c r="AI8" s="160">
        <f>G8/E8*AH8</f>
        <v>634.79</v>
      </c>
      <c r="AJ8" s="118">
        <f>AG8-AI8</f>
        <v>3132.91</v>
      </c>
      <c r="AK8" s="116"/>
      <c r="AL8" s="116">
        <f>AI8*18%</f>
        <v>114.26</v>
      </c>
      <c r="AM8" s="116">
        <f>AJ8*0.18</f>
        <v>563.92</v>
      </c>
      <c r="AN8" s="116"/>
      <c r="AO8" s="125">
        <f>SUM(AL8:AN8)</f>
        <v>678.18</v>
      </c>
      <c r="AP8" s="116">
        <f>AI8*1.5%</f>
        <v>9.52</v>
      </c>
      <c r="AQ8" s="116">
        <f>AG8*1.5%-AP8</f>
        <v>47</v>
      </c>
      <c r="AR8" s="125">
        <f>AP8+AQ8</f>
        <v>56.52</v>
      </c>
      <c r="AS8" s="125"/>
      <c r="AT8" s="116">
        <f>AG8*1%</f>
        <v>37.68</v>
      </c>
      <c r="AU8" s="116">
        <f>AL8+AP8</f>
        <v>123.78</v>
      </c>
      <c r="AV8" s="116">
        <f>AM8+AN8+AQ8+AT8</f>
        <v>648.6</v>
      </c>
      <c r="AW8" s="125">
        <f>AO8+AR8+AT8</f>
        <v>772.38</v>
      </c>
      <c r="AX8" s="124">
        <f>AI8-(AL8+AP8)</f>
        <v>511.01</v>
      </c>
      <c r="AY8" s="124">
        <f>AG8-(AW8+AX8)</f>
        <v>2484.31</v>
      </c>
      <c r="AZ8" s="126">
        <f>SUM(AX8:AY8)</f>
        <v>2995.32</v>
      </c>
      <c r="BA8" s="127"/>
      <c r="BB8" s="124"/>
      <c r="BC8" s="126">
        <f t="shared" si="0"/>
        <v>0</v>
      </c>
      <c r="BD8" s="126">
        <f>AZ8+BC8</f>
        <v>2995.32</v>
      </c>
      <c r="BE8" s="128">
        <f>AG8*22%</f>
        <v>828.89</v>
      </c>
      <c r="BF8" s="129"/>
    </row>
    <row r="9" spans="1:58" ht="74.25" customHeight="1">
      <c r="A9" s="114">
        <v>4</v>
      </c>
      <c r="B9" s="107" t="s">
        <v>37</v>
      </c>
      <c r="C9" s="101">
        <v>1</v>
      </c>
      <c r="D9" s="108" t="s">
        <v>92</v>
      </c>
      <c r="E9" s="115">
        <v>19</v>
      </c>
      <c r="F9" s="115">
        <v>152</v>
      </c>
      <c r="G9" s="116">
        <v>1723</v>
      </c>
      <c r="H9" s="117">
        <f>G9/19*E9</f>
        <v>1723</v>
      </c>
      <c r="I9" s="118">
        <f>55</f>
        <v>55</v>
      </c>
      <c r="J9" s="118">
        <f>H9+I9</f>
        <v>1778</v>
      </c>
      <c r="K9" s="119">
        <v>0.25</v>
      </c>
      <c r="L9" s="116">
        <f>J9*K9</f>
        <v>444.5</v>
      </c>
      <c r="M9" s="116">
        <f>J9+L9</f>
        <v>2222.5</v>
      </c>
      <c r="N9" s="116"/>
      <c r="O9" s="116"/>
      <c r="P9" s="116"/>
      <c r="Q9" s="120"/>
      <c r="R9" s="119">
        <v>1</v>
      </c>
      <c r="S9" s="116">
        <f>H9*R9</f>
        <v>1723</v>
      </c>
      <c r="T9" s="118"/>
      <c r="U9" s="118"/>
      <c r="V9" s="118"/>
      <c r="W9" s="111"/>
      <c r="X9" s="118"/>
      <c r="Y9" s="121"/>
      <c r="Z9" s="116"/>
      <c r="AA9" s="121"/>
      <c r="AB9" s="116"/>
      <c r="AC9" s="116"/>
      <c r="AD9" s="116"/>
      <c r="AE9" s="116"/>
      <c r="AF9" s="116"/>
      <c r="AG9" s="122">
        <f>AB9+Z9+X9+V9+S9+Q9+O9+M9+T9+AC9+AF9+U9+AE9</f>
        <v>3945.5</v>
      </c>
      <c r="AH9" s="123">
        <v>7</v>
      </c>
      <c r="AI9" s="160">
        <f>G9/E9*AH9</f>
        <v>634.79</v>
      </c>
      <c r="AJ9" s="118">
        <f>AG9-AI9</f>
        <v>3310.71</v>
      </c>
      <c r="AK9" s="116"/>
      <c r="AL9" s="116">
        <f>AI9*18%</f>
        <v>114.26</v>
      </c>
      <c r="AM9" s="116">
        <f>(AG9-AK9)*18%-AL9</f>
        <v>595.93</v>
      </c>
      <c r="AN9" s="116"/>
      <c r="AO9" s="125">
        <f>SUM(AL9:AN9)</f>
        <v>710.19</v>
      </c>
      <c r="AP9" s="116">
        <f>AI9*1.5%</f>
        <v>9.52</v>
      </c>
      <c r="AQ9" s="116">
        <f>AG9*1.5%-AP9</f>
        <v>49.66</v>
      </c>
      <c r="AR9" s="125">
        <f>AP9+AQ9</f>
        <v>59.18</v>
      </c>
      <c r="AS9" s="125"/>
      <c r="AT9" s="116">
        <f>AG9*1%</f>
        <v>39.46</v>
      </c>
      <c r="AU9" s="116">
        <f>AL9+AP9</f>
        <v>123.78</v>
      </c>
      <c r="AV9" s="116">
        <f>AM9+AN9+AQ9+AT9</f>
        <v>685.05</v>
      </c>
      <c r="AW9" s="125">
        <f>AO9+AR9+AT9</f>
        <v>808.83</v>
      </c>
      <c r="AX9" s="124">
        <f>AI9-(AL9+AP9)</f>
        <v>511.01</v>
      </c>
      <c r="AY9" s="124">
        <f>AG9-(AW9+AX9)</f>
        <v>2625.66</v>
      </c>
      <c r="AZ9" s="126">
        <f>SUM(AX9:AY9)</f>
        <v>3136.67</v>
      </c>
      <c r="BA9" s="127"/>
      <c r="BB9" s="124"/>
      <c r="BC9" s="126">
        <f t="shared" si="0"/>
        <v>0</v>
      </c>
      <c r="BD9" s="126">
        <f>AZ9+BC9</f>
        <v>3136.67</v>
      </c>
      <c r="BE9" s="128">
        <f>AG9*22%</f>
        <v>868.01</v>
      </c>
      <c r="BF9" s="129"/>
    </row>
    <row r="10" spans="1:58" ht="74.25" customHeight="1">
      <c r="A10" s="130">
        <v>5</v>
      </c>
      <c r="B10" s="106" t="s">
        <v>85</v>
      </c>
      <c r="C10" s="102">
        <v>1</v>
      </c>
      <c r="D10" s="105" t="s">
        <v>93</v>
      </c>
      <c r="E10" s="115">
        <v>19</v>
      </c>
      <c r="F10" s="115">
        <v>152</v>
      </c>
      <c r="G10" s="116">
        <v>1723</v>
      </c>
      <c r="H10" s="117">
        <f>G10/19*E10</f>
        <v>1723</v>
      </c>
      <c r="I10" s="118">
        <v>45</v>
      </c>
      <c r="J10" s="118">
        <f>H10+I10</f>
        <v>1768</v>
      </c>
      <c r="K10" s="119">
        <v>0.1</v>
      </c>
      <c r="L10" s="116">
        <f>J10*K10</f>
        <v>176.8</v>
      </c>
      <c r="M10" s="116">
        <f>J10+L10</f>
        <v>1944.8</v>
      </c>
      <c r="N10" s="116"/>
      <c r="O10" s="116"/>
      <c r="P10" s="116"/>
      <c r="Q10" s="120"/>
      <c r="R10" s="119">
        <v>0.8</v>
      </c>
      <c r="S10" s="116">
        <f>H10*R10</f>
        <v>1378.4</v>
      </c>
      <c r="T10" s="118"/>
      <c r="U10" s="118"/>
      <c r="V10" s="118"/>
      <c r="W10" s="111"/>
      <c r="X10" s="118"/>
      <c r="Y10" s="121"/>
      <c r="Z10" s="116"/>
      <c r="AA10" s="121"/>
      <c r="AB10" s="116"/>
      <c r="AC10" s="116"/>
      <c r="AD10" s="116"/>
      <c r="AE10" s="116"/>
      <c r="AF10" s="116"/>
      <c r="AG10" s="122">
        <f>AB10+Z10+X10+V10+S10+Q10+O10+M10+T10+AC10+AF10+U10+AE10</f>
        <v>3323.2</v>
      </c>
      <c r="AH10" s="123">
        <v>7</v>
      </c>
      <c r="AI10" s="160">
        <f>G10/E10*AH10</f>
        <v>634.79</v>
      </c>
      <c r="AJ10" s="118">
        <f>AG10-AI10</f>
        <v>2688.41</v>
      </c>
      <c r="AK10" s="116"/>
      <c r="AL10" s="116">
        <f>AI10*18%</f>
        <v>114.26</v>
      </c>
      <c r="AM10" s="116">
        <f>(AG10-AK10)*18%-AL10</f>
        <v>483.92</v>
      </c>
      <c r="AN10" s="116"/>
      <c r="AO10" s="125">
        <f>SUM(AL10:AN10)</f>
        <v>598.18</v>
      </c>
      <c r="AP10" s="116">
        <f>AI10*1.5%</f>
        <v>9.52</v>
      </c>
      <c r="AQ10" s="116">
        <f>AG10*1.5%-AP10</f>
        <v>40.33</v>
      </c>
      <c r="AR10" s="125">
        <f>AP10+AQ10</f>
        <v>49.85</v>
      </c>
      <c r="AS10" s="125"/>
      <c r="AT10" s="116">
        <f>AG10*1%</f>
        <v>33.23</v>
      </c>
      <c r="AU10" s="116">
        <f>AL10+AP10</f>
        <v>123.78</v>
      </c>
      <c r="AV10" s="116">
        <f>AM10+AN10+AQ10+AT10</f>
        <v>557.48</v>
      </c>
      <c r="AW10" s="125">
        <f>AO10+AR10+AT10</f>
        <v>681.26</v>
      </c>
      <c r="AX10" s="124">
        <f>AI10-(AL10+AP10)</f>
        <v>511.01</v>
      </c>
      <c r="AY10" s="124">
        <f>AG10-(AW10+AX10)</f>
        <v>2130.93</v>
      </c>
      <c r="AZ10" s="126">
        <f>SUM(AX10:AY10)</f>
        <v>2641.94</v>
      </c>
      <c r="BA10" s="127"/>
      <c r="BB10" s="124"/>
      <c r="BC10" s="126">
        <f>SUM(BA10:BB10)</f>
        <v>0</v>
      </c>
      <c r="BD10" s="126">
        <f>AZ10+BC10</f>
        <v>2641.94</v>
      </c>
      <c r="BE10" s="128">
        <f>AG10*22%</f>
        <v>731.1</v>
      </c>
      <c r="BF10" s="129"/>
    </row>
    <row r="11" spans="1:58" ht="74.25" customHeight="1">
      <c r="A11" s="130"/>
      <c r="B11" s="131" t="s">
        <v>39</v>
      </c>
      <c r="C11" s="132">
        <f>SUM(C6:C10)</f>
        <v>5</v>
      </c>
      <c r="D11" s="132"/>
      <c r="E11" s="115"/>
      <c r="F11" s="149">
        <f>SUM(F6:F10)</f>
        <v>760</v>
      </c>
      <c r="G11" s="133">
        <f>SUM(G6:G10)</f>
        <v>10753</v>
      </c>
      <c r="H11" s="133">
        <f aca="true" t="shared" si="1" ref="H11:BE11">SUM(H6:H10)</f>
        <v>10753</v>
      </c>
      <c r="I11" s="133">
        <f t="shared" si="1"/>
        <v>335</v>
      </c>
      <c r="J11" s="133">
        <f t="shared" si="1"/>
        <v>11088</v>
      </c>
      <c r="K11" s="133"/>
      <c r="L11" s="133">
        <f t="shared" si="1"/>
        <v>1906.8</v>
      </c>
      <c r="M11" s="133">
        <f t="shared" si="1"/>
        <v>12994.8</v>
      </c>
      <c r="N11" s="133"/>
      <c r="O11" s="133">
        <f t="shared" si="1"/>
        <v>0</v>
      </c>
      <c r="P11" s="133">
        <f t="shared" si="1"/>
        <v>0</v>
      </c>
      <c r="Q11" s="133">
        <f t="shared" si="1"/>
        <v>0</v>
      </c>
      <c r="R11" s="133"/>
      <c r="S11" s="133">
        <f>SUM(S6:S10)</f>
        <v>10408.4</v>
      </c>
      <c r="T11" s="133">
        <f>SUM(T6:T10)</f>
        <v>0</v>
      </c>
      <c r="U11" s="133">
        <f>SUM(U6:U10)</f>
        <v>0</v>
      </c>
      <c r="V11" s="133">
        <f>SUM(V6:V10)</f>
        <v>0</v>
      </c>
      <c r="W11" s="133">
        <f t="shared" si="1"/>
        <v>0</v>
      </c>
      <c r="X11" s="133">
        <f t="shared" si="1"/>
        <v>0</v>
      </c>
      <c r="Y11" s="133">
        <f t="shared" si="1"/>
        <v>0</v>
      </c>
      <c r="Z11" s="133">
        <f t="shared" si="1"/>
        <v>0</v>
      </c>
      <c r="AA11" s="133">
        <f t="shared" si="1"/>
        <v>0</v>
      </c>
      <c r="AB11" s="133">
        <f t="shared" si="1"/>
        <v>0</v>
      </c>
      <c r="AC11" s="133">
        <f t="shared" si="1"/>
        <v>0</v>
      </c>
      <c r="AD11" s="133"/>
      <c r="AE11" s="133">
        <f t="shared" si="1"/>
        <v>0</v>
      </c>
      <c r="AF11" s="133">
        <f t="shared" si="1"/>
        <v>0</v>
      </c>
      <c r="AG11" s="133">
        <f t="shared" si="1"/>
        <v>23403.2</v>
      </c>
      <c r="AH11" s="133">
        <f t="shared" si="1"/>
        <v>28</v>
      </c>
      <c r="AI11" s="161">
        <f t="shared" si="1"/>
        <v>3056.42</v>
      </c>
      <c r="AJ11" s="133">
        <f t="shared" si="1"/>
        <v>20346.78</v>
      </c>
      <c r="AK11" s="133">
        <f t="shared" si="1"/>
        <v>0</v>
      </c>
      <c r="AL11" s="133">
        <f t="shared" si="1"/>
        <v>550.15</v>
      </c>
      <c r="AM11" s="133">
        <f t="shared" si="1"/>
        <v>3662.42</v>
      </c>
      <c r="AN11" s="133">
        <f t="shared" si="1"/>
        <v>0</v>
      </c>
      <c r="AO11" s="133">
        <f t="shared" si="1"/>
        <v>4212.57</v>
      </c>
      <c r="AP11" s="133">
        <f t="shared" si="1"/>
        <v>45.84</v>
      </c>
      <c r="AQ11" s="133">
        <f t="shared" si="1"/>
        <v>305.21</v>
      </c>
      <c r="AR11" s="133">
        <f t="shared" si="1"/>
        <v>351.05</v>
      </c>
      <c r="AS11" s="133">
        <f t="shared" si="1"/>
        <v>0</v>
      </c>
      <c r="AT11" s="133">
        <f t="shared" si="1"/>
        <v>234.04</v>
      </c>
      <c r="AU11" s="133">
        <f t="shared" si="1"/>
        <v>595.99</v>
      </c>
      <c r="AV11" s="133">
        <f t="shared" si="1"/>
        <v>4201.67</v>
      </c>
      <c r="AW11" s="133">
        <f t="shared" si="1"/>
        <v>4797.66</v>
      </c>
      <c r="AX11" s="133">
        <f t="shared" si="1"/>
        <v>2460.43</v>
      </c>
      <c r="AY11" s="133">
        <f t="shared" si="1"/>
        <v>16145.11</v>
      </c>
      <c r="AZ11" s="133">
        <f t="shared" si="1"/>
        <v>18605.54</v>
      </c>
      <c r="BA11" s="133">
        <f t="shared" si="1"/>
        <v>0</v>
      </c>
      <c r="BB11" s="133">
        <f t="shared" si="1"/>
        <v>0</v>
      </c>
      <c r="BC11" s="133">
        <f t="shared" si="1"/>
        <v>0</v>
      </c>
      <c r="BD11" s="133">
        <f t="shared" si="1"/>
        <v>18605.54</v>
      </c>
      <c r="BE11" s="133">
        <f t="shared" si="1"/>
        <v>5148.7</v>
      </c>
      <c r="BF11" s="129"/>
    </row>
    <row r="12" spans="1:58" s="143" customFormat="1" ht="74.25" customHeight="1">
      <c r="A12" s="136">
        <v>6</v>
      </c>
      <c r="B12" s="162" t="s">
        <v>61</v>
      </c>
      <c r="C12" s="162">
        <v>1</v>
      </c>
      <c r="D12" s="162" t="s">
        <v>44</v>
      </c>
      <c r="E12" s="115">
        <v>19</v>
      </c>
      <c r="F12" s="115">
        <v>152</v>
      </c>
      <c r="G12" s="138">
        <v>1723</v>
      </c>
      <c r="H12" s="117">
        <f>G12/19*E12</f>
        <v>1723</v>
      </c>
      <c r="I12" s="138"/>
      <c r="J12" s="118">
        <f aca="true" t="shared" si="2" ref="J12:J18">H12+I12</f>
        <v>1723</v>
      </c>
      <c r="K12" s="138"/>
      <c r="L12" s="138"/>
      <c r="M12" s="116">
        <f aca="true" t="shared" si="3" ref="M12:M19">J12+L12</f>
        <v>1723</v>
      </c>
      <c r="N12" s="139">
        <v>0.5</v>
      </c>
      <c r="O12" s="116">
        <f>M12*N12</f>
        <v>861.5</v>
      </c>
      <c r="P12" s="138"/>
      <c r="Q12" s="120"/>
      <c r="R12" s="119">
        <v>0.35</v>
      </c>
      <c r="S12" s="116">
        <f aca="true" t="shared" si="4" ref="S12:S19">H12*R12</f>
        <v>603.05</v>
      </c>
      <c r="T12" s="138"/>
      <c r="U12" s="138"/>
      <c r="V12" s="138"/>
      <c r="W12" s="140"/>
      <c r="X12" s="138"/>
      <c r="Y12" s="140"/>
      <c r="Z12" s="138"/>
      <c r="AA12" s="138"/>
      <c r="AB12" s="138"/>
      <c r="AC12" s="138"/>
      <c r="AD12" s="138"/>
      <c r="AE12" s="138"/>
      <c r="AF12" s="138"/>
      <c r="AG12" s="122">
        <f aca="true" t="shared" si="5" ref="AG12:AG17">AB12+Z12+X12+V12+S12+Q12+O12+M12+T12+AC12+AF12+U12+AE12</f>
        <v>3187.55</v>
      </c>
      <c r="AH12" s="123">
        <v>7</v>
      </c>
      <c r="AI12" s="160">
        <f>G12/E12*AH12</f>
        <v>634.79</v>
      </c>
      <c r="AJ12" s="118">
        <f aca="true" t="shared" si="6" ref="AJ12:AJ19">AG12-AI12</f>
        <v>2552.76</v>
      </c>
      <c r="AK12" s="138"/>
      <c r="AL12" s="116">
        <f>AI12*18%</f>
        <v>114.26</v>
      </c>
      <c r="AM12" s="116">
        <f>(AG12-AK12)*18%-AL12</f>
        <v>459.5</v>
      </c>
      <c r="AN12" s="138"/>
      <c r="AO12" s="125">
        <f>AL12+AM12</f>
        <v>573.76</v>
      </c>
      <c r="AP12" s="116">
        <f aca="true" t="shared" si="7" ref="AP12:AP19">AI12*1.5%</f>
        <v>9.52</v>
      </c>
      <c r="AQ12" s="116">
        <f aca="true" t="shared" si="8" ref="AQ12:AQ19">AG12*1.5%-AP12</f>
        <v>38.29</v>
      </c>
      <c r="AR12" s="125">
        <f>AP12+AQ12</f>
        <v>47.81</v>
      </c>
      <c r="AS12" s="125"/>
      <c r="AT12" s="116">
        <f aca="true" t="shared" si="9" ref="AT12:AT19">AG12*1%</f>
        <v>31.88</v>
      </c>
      <c r="AU12" s="116">
        <f aca="true" t="shared" si="10" ref="AU12:AU18">AL12+AP12</f>
        <v>123.78</v>
      </c>
      <c r="AV12" s="116">
        <f>AM12+AN12+AQ12+AT12</f>
        <v>529.67</v>
      </c>
      <c r="AW12" s="125">
        <f>AO12+AR12+AT12</f>
        <v>653.45</v>
      </c>
      <c r="AX12" s="124">
        <f>AI12-(AL12+AP12)</f>
        <v>511.01</v>
      </c>
      <c r="AY12" s="124">
        <f>AG12-(AW12+AX12)</f>
        <v>2023.09</v>
      </c>
      <c r="AZ12" s="126">
        <f>SUM(AX12:AY12)</f>
        <v>2534.1</v>
      </c>
      <c r="BA12" s="141"/>
      <c r="BB12" s="138"/>
      <c r="BC12" s="126">
        <f t="shared" si="0"/>
        <v>0</v>
      </c>
      <c r="BD12" s="126">
        <f>AZ12+BC12</f>
        <v>2534.1</v>
      </c>
      <c r="BE12" s="128">
        <f aca="true" t="shared" si="11" ref="BE12:BE19">AG12*22%</f>
        <v>701.26</v>
      </c>
      <c r="BF12" s="142"/>
    </row>
    <row r="13" spans="1:58" ht="74.25" customHeight="1">
      <c r="A13" s="114">
        <v>7</v>
      </c>
      <c r="B13" s="101" t="s">
        <v>41</v>
      </c>
      <c r="C13" s="101">
        <v>1</v>
      </c>
      <c r="D13" s="144" t="s">
        <v>94</v>
      </c>
      <c r="E13" s="115">
        <v>19</v>
      </c>
      <c r="F13" s="115">
        <v>152</v>
      </c>
      <c r="G13" s="138">
        <v>1723</v>
      </c>
      <c r="H13" s="117">
        <f aca="true" t="shared" si="12" ref="H13:H19">G13/19*E13</f>
        <v>1723</v>
      </c>
      <c r="I13" s="118"/>
      <c r="J13" s="118">
        <f t="shared" si="2"/>
        <v>1723</v>
      </c>
      <c r="K13" s="119">
        <v>0.4</v>
      </c>
      <c r="L13" s="116">
        <f>J13*K13</f>
        <v>689.2</v>
      </c>
      <c r="M13" s="116">
        <f t="shared" si="3"/>
        <v>2412.2</v>
      </c>
      <c r="N13" s="139">
        <v>0.45</v>
      </c>
      <c r="O13" s="116">
        <f>M13*N13</f>
        <v>1085.49</v>
      </c>
      <c r="P13" s="145"/>
      <c r="Q13" s="120"/>
      <c r="R13" s="119"/>
      <c r="S13" s="116">
        <f t="shared" si="4"/>
        <v>0</v>
      </c>
      <c r="T13" s="118"/>
      <c r="U13" s="118"/>
      <c r="V13" s="118"/>
      <c r="W13" s="111"/>
      <c r="X13" s="118"/>
      <c r="Y13" s="121"/>
      <c r="Z13" s="116"/>
      <c r="AA13" s="121"/>
      <c r="AB13" s="116"/>
      <c r="AC13" s="124"/>
      <c r="AD13" s="124"/>
      <c r="AE13" s="116"/>
      <c r="AF13" s="124"/>
      <c r="AG13" s="122">
        <f t="shared" si="5"/>
        <v>3497.69</v>
      </c>
      <c r="AH13" s="123"/>
      <c r="AI13" s="160">
        <f>G13/E13*AH13</f>
        <v>0</v>
      </c>
      <c r="AJ13" s="118">
        <f t="shared" si="6"/>
        <v>3497.69</v>
      </c>
      <c r="AK13" s="116"/>
      <c r="AL13" s="116">
        <f>AI13*18%</f>
        <v>0</v>
      </c>
      <c r="AM13" s="116">
        <f>(AG13-AK13)*18%-AL13</f>
        <v>629.58</v>
      </c>
      <c r="AN13" s="116"/>
      <c r="AO13" s="125">
        <f aca="true" t="shared" si="13" ref="AO13:AO19">AL13+AM13</f>
        <v>629.58</v>
      </c>
      <c r="AP13" s="116">
        <f t="shared" si="7"/>
        <v>0</v>
      </c>
      <c r="AQ13" s="116">
        <f t="shared" si="8"/>
        <v>52.47</v>
      </c>
      <c r="AR13" s="125">
        <f aca="true" t="shared" si="14" ref="AR13:AR19">AP13+AQ13</f>
        <v>52.47</v>
      </c>
      <c r="AS13" s="125"/>
      <c r="AT13" s="116">
        <f t="shared" si="9"/>
        <v>34.98</v>
      </c>
      <c r="AU13" s="116">
        <f t="shared" si="10"/>
        <v>0</v>
      </c>
      <c r="AV13" s="116">
        <f aca="true" t="shared" si="15" ref="AV13:AV19">AM13+AN13+AQ13+AT13</f>
        <v>717.03</v>
      </c>
      <c r="AW13" s="125">
        <f aca="true" t="shared" si="16" ref="AW13:AW19">AO13+AR13+AT13</f>
        <v>717.03</v>
      </c>
      <c r="AX13" s="124">
        <f aca="true" t="shared" si="17" ref="AX13:AX19">AI13-(AL13+AP13)</f>
        <v>0</v>
      </c>
      <c r="AY13" s="124">
        <v>0</v>
      </c>
      <c r="AZ13" s="126">
        <f aca="true" t="shared" si="18" ref="AZ13:AZ19">SUM(AX13:AY13)</f>
        <v>0</v>
      </c>
      <c r="BA13" s="127"/>
      <c r="BB13" s="124">
        <f>AG13-AW13</f>
        <v>2780.66</v>
      </c>
      <c r="BC13" s="126">
        <f t="shared" si="0"/>
        <v>2780.66</v>
      </c>
      <c r="BD13" s="126">
        <f aca="true" t="shared" si="19" ref="BD13:BD19">AZ13+BC13</f>
        <v>2780.66</v>
      </c>
      <c r="BE13" s="128">
        <f t="shared" si="11"/>
        <v>769.49</v>
      </c>
      <c r="BF13" s="129"/>
    </row>
    <row r="14" spans="1:58" s="143" customFormat="1" ht="74.25" customHeight="1">
      <c r="A14" s="136">
        <v>8</v>
      </c>
      <c r="B14" s="174" t="s">
        <v>74</v>
      </c>
      <c r="C14" s="209">
        <v>1</v>
      </c>
      <c r="D14" s="205" t="s">
        <v>50</v>
      </c>
      <c r="E14" s="136">
        <v>8</v>
      </c>
      <c r="F14" s="136">
        <v>64</v>
      </c>
      <c r="G14" s="138">
        <v>1723</v>
      </c>
      <c r="H14" s="138">
        <f t="shared" si="12"/>
        <v>725.47</v>
      </c>
      <c r="I14" s="138"/>
      <c r="J14" s="138">
        <f t="shared" si="2"/>
        <v>725.47</v>
      </c>
      <c r="K14" s="139"/>
      <c r="L14" s="138"/>
      <c r="M14" s="138">
        <f t="shared" si="3"/>
        <v>725.47</v>
      </c>
      <c r="N14" s="139">
        <v>0.5</v>
      </c>
      <c r="O14" s="138">
        <f>M14*N14</f>
        <v>362.74</v>
      </c>
      <c r="P14" s="139"/>
      <c r="Q14" s="120"/>
      <c r="R14" s="139">
        <v>0.35</v>
      </c>
      <c r="S14" s="138">
        <f t="shared" si="4"/>
        <v>253.91</v>
      </c>
      <c r="T14" s="138"/>
      <c r="U14" s="138"/>
      <c r="V14" s="138"/>
      <c r="W14" s="140"/>
      <c r="X14" s="138"/>
      <c r="Y14" s="140"/>
      <c r="Z14" s="138"/>
      <c r="AA14" s="140">
        <v>15</v>
      </c>
      <c r="AB14" s="138">
        <v>1681.2</v>
      </c>
      <c r="AC14" s="138"/>
      <c r="AD14" s="138"/>
      <c r="AE14" s="138"/>
      <c r="AF14" s="138"/>
      <c r="AG14" s="147">
        <f t="shared" si="5"/>
        <v>3023.32</v>
      </c>
      <c r="AH14" s="210">
        <v>7</v>
      </c>
      <c r="AI14" s="138">
        <v>634.79</v>
      </c>
      <c r="AJ14" s="138">
        <f t="shared" si="6"/>
        <v>2388.53</v>
      </c>
      <c r="AK14" s="138"/>
      <c r="AL14" s="138">
        <f>AI14*18%</f>
        <v>114.26</v>
      </c>
      <c r="AM14" s="138">
        <f>(AG14-AK14)*18%-AL14</f>
        <v>429.94</v>
      </c>
      <c r="AN14" s="138"/>
      <c r="AO14" s="147">
        <f t="shared" si="13"/>
        <v>544.2</v>
      </c>
      <c r="AP14" s="138">
        <f t="shared" si="7"/>
        <v>9.52</v>
      </c>
      <c r="AQ14" s="138">
        <f t="shared" si="8"/>
        <v>35.83</v>
      </c>
      <c r="AR14" s="147">
        <f t="shared" si="14"/>
        <v>45.35</v>
      </c>
      <c r="AS14" s="147"/>
      <c r="AT14" s="138">
        <f t="shared" si="9"/>
        <v>30.23</v>
      </c>
      <c r="AU14" s="138">
        <f t="shared" si="10"/>
        <v>123.78</v>
      </c>
      <c r="AV14" s="138">
        <f t="shared" si="15"/>
        <v>496</v>
      </c>
      <c r="AW14" s="147">
        <f>AO14+AR14+AT14</f>
        <v>619.78</v>
      </c>
      <c r="AX14" s="138">
        <f t="shared" si="17"/>
        <v>511.01</v>
      </c>
      <c r="AY14" s="138">
        <f>AG14-(AW14+AX14)-42</f>
        <v>1850.53</v>
      </c>
      <c r="AZ14" s="147">
        <f t="shared" si="18"/>
        <v>2361.54</v>
      </c>
      <c r="BA14" s="138"/>
      <c r="BB14" s="138"/>
      <c r="BC14" s="147">
        <f t="shared" si="0"/>
        <v>0</v>
      </c>
      <c r="BD14" s="147">
        <f t="shared" si="19"/>
        <v>2361.54</v>
      </c>
      <c r="BE14" s="147">
        <f t="shared" si="11"/>
        <v>665.13</v>
      </c>
      <c r="BF14" s="142"/>
    </row>
    <row r="15" spans="1:58" s="143" customFormat="1" ht="74.25" customHeight="1">
      <c r="A15" s="136">
        <v>9</v>
      </c>
      <c r="B15" s="174" t="s">
        <v>43</v>
      </c>
      <c r="C15" s="174">
        <v>1</v>
      </c>
      <c r="D15" s="174" t="s">
        <v>44</v>
      </c>
      <c r="E15" s="136">
        <v>19</v>
      </c>
      <c r="F15" s="136">
        <v>152</v>
      </c>
      <c r="G15" s="138">
        <v>1723</v>
      </c>
      <c r="H15" s="138">
        <f t="shared" si="12"/>
        <v>1723</v>
      </c>
      <c r="I15" s="138"/>
      <c r="J15" s="138">
        <f t="shared" si="2"/>
        <v>1723</v>
      </c>
      <c r="K15" s="139">
        <v>0.25</v>
      </c>
      <c r="L15" s="138">
        <f>J15*K15</f>
        <v>430.75</v>
      </c>
      <c r="M15" s="138">
        <f t="shared" si="3"/>
        <v>2153.75</v>
      </c>
      <c r="N15" s="139">
        <v>0.5</v>
      </c>
      <c r="O15" s="138">
        <f>M15*N15</f>
        <v>1076.88</v>
      </c>
      <c r="P15" s="138"/>
      <c r="Q15" s="120"/>
      <c r="R15" s="139"/>
      <c r="S15" s="138">
        <f t="shared" si="4"/>
        <v>0</v>
      </c>
      <c r="T15" s="138"/>
      <c r="U15" s="138"/>
      <c r="V15" s="138"/>
      <c r="W15" s="140"/>
      <c r="X15" s="138"/>
      <c r="Y15" s="140"/>
      <c r="Z15" s="138"/>
      <c r="AA15" s="140"/>
      <c r="AB15" s="138"/>
      <c r="AC15" s="138"/>
      <c r="AD15" s="138"/>
      <c r="AE15" s="138"/>
      <c r="AF15" s="138"/>
      <c r="AG15" s="147">
        <f t="shared" si="5"/>
        <v>3230.63</v>
      </c>
      <c r="AH15" s="210">
        <v>7</v>
      </c>
      <c r="AI15" s="138">
        <f>G15/E15*AH15</f>
        <v>634.79</v>
      </c>
      <c r="AJ15" s="138">
        <f t="shared" si="6"/>
        <v>2595.84</v>
      </c>
      <c r="AK15" s="138"/>
      <c r="AL15" s="138">
        <f>AI15*18%</f>
        <v>114.26</v>
      </c>
      <c r="AM15" s="138">
        <f>(AG15-AK15)*18%-AL15</f>
        <v>467.25</v>
      </c>
      <c r="AN15" s="138"/>
      <c r="AO15" s="147">
        <f t="shared" si="13"/>
        <v>581.51</v>
      </c>
      <c r="AP15" s="138">
        <f t="shared" si="7"/>
        <v>9.52</v>
      </c>
      <c r="AQ15" s="138">
        <f t="shared" si="8"/>
        <v>38.94</v>
      </c>
      <c r="AR15" s="147">
        <f t="shared" si="14"/>
        <v>48.46</v>
      </c>
      <c r="AS15" s="147"/>
      <c r="AT15" s="138">
        <f t="shared" si="9"/>
        <v>32.31</v>
      </c>
      <c r="AU15" s="138">
        <f t="shared" si="10"/>
        <v>123.78</v>
      </c>
      <c r="AV15" s="138">
        <f>AM15+AN15+AQ15+AT15+AS15</f>
        <v>538.5</v>
      </c>
      <c r="AW15" s="147">
        <f>AO15+AR15+AT15+AS15</f>
        <v>662.28</v>
      </c>
      <c r="AX15" s="138">
        <f t="shared" si="17"/>
        <v>511.01</v>
      </c>
      <c r="AY15" s="138">
        <f>AG15-(AW15+AX15)</f>
        <v>2057.34</v>
      </c>
      <c r="AZ15" s="147">
        <f t="shared" si="18"/>
        <v>2568.35</v>
      </c>
      <c r="BA15" s="138"/>
      <c r="BB15" s="138"/>
      <c r="BC15" s="147">
        <f t="shared" si="0"/>
        <v>0</v>
      </c>
      <c r="BD15" s="147">
        <f t="shared" si="19"/>
        <v>2568.35</v>
      </c>
      <c r="BE15" s="147">
        <f t="shared" si="11"/>
        <v>710.74</v>
      </c>
      <c r="BF15" s="142"/>
    </row>
    <row r="16" spans="1:58" s="143" customFormat="1" ht="74.25" customHeight="1">
      <c r="A16" s="136">
        <v>10</v>
      </c>
      <c r="B16" s="174" t="s">
        <v>87</v>
      </c>
      <c r="C16" s="174">
        <v>1</v>
      </c>
      <c r="D16" s="174" t="s">
        <v>88</v>
      </c>
      <c r="E16" s="136">
        <v>19</v>
      </c>
      <c r="F16" s="136">
        <v>152</v>
      </c>
      <c r="G16" s="138">
        <v>1723</v>
      </c>
      <c r="H16" s="138">
        <f>G16/19*E16</f>
        <v>1723</v>
      </c>
      <c r="I16" s="138"/>
      <c r="J16" s="138">
        <f t="shared" si="2"/>
        <v>1723</v>
      </c>
      <c r="K16" s="139"/>
      <c r="L16" s="138"/>
      <c r="M16" s="138">
        <f t="shared" si="3"/>
        <v>1723</v>
      </c>
      <c r="N16" s="139">
        <v>0.5</v>
      </c>
      <c r="O16" s="138">
        <f>M16*N16</f>
        <v>861.5</v>
      </c>
      <c r="P16" s="138"/>
      <c r="Q16" s="120"/>
      <c r="R16" s="139">
        <v>0.35</v>
      </c>
      <c r="S16" s="138">
        <f t="shared" si="4"/>
        <v>603.05</v>
      </c>
      <c r="T16" s="138"/>
      <c r="U16" s="138"/>
      <c r="V16" s="138"/>
      <c r="W16" s="140"/>
      <c r="X16" s="138"/>
      <c r="Y16" s="140"/>
      <c r="Z16" s="138"/>
      <c r="AA16" s="140"/>
      <c r="AB16" s="138"/>
      <c r="AC16" s="138"/>
      <c r="AD16" s="138"/>
      <c r="AE16" s="138"/>
      <c r="AF16" s="138"/>
      <c r="AG16" s="147">
        <f t="shared" si="5"/>
        <v>3187.55</v>
      </c>
      <c r="AH16" s="210">
        <v>7</v>
      </c>
      <c r="AI16" s="138">
        <f>G16/E16*AH16</f>
        <v>634.79</v>
      </c>
      <c r="AJ16" s="138">
        <f t="shared" si="6"/>
        <v>2552.76</v>
      </c>
      <c r="AK16" s="138"/>
      <c r="AL16" s="138">
        <f>AI16*18%</f>
        <v>114.26</v>
      </c>
      <c r="AM16" s="138">
        <f>(AG16-AK16)*18%-AL16</f>
        <v>459.5</v>
      </c>
      <c r="AN16" s="138"/>
      <c r="AO16" s="147">
        <f t="shared" si="13"/>
        <v>573.76</v>
      </c>
      <c r="AP16" s="138">
        <f t="shared" si="7"/>
        <v>9.52</v>
      </c>
      <c r="AQ16" s="138">
        <f t="shared" si="8"/>
        <v>38.29</v>
      </c>
      <c r="AR16" s="147">
        <f t="shared" si="14"/>
        <v>47.81</v>
      </c>
      <c r="AS16" s="147"/>
      <c r="AT16" s="138">
        <f t="shared" si="9"/>
        <v>31.88</v>
      </c>
      <c r="AU16" s="138">
        <f t="shared" si="10"/>
        <v>123.78</v>
      </c>
      <c r="AV16" s="138">
        <f t="shared" si="15"/>
        <v>529.67</v>
      </c>
      <c r="AW16" s="147">
        <f>AO16+AR16+AT16</f>
        <v>653.45</v>
      </c>
      <c r="AX16" s="138">
        <f t="shared" si="17"/>
        <v>511.01</v>
      </c>
      <c r="AY16" s="138">
        <f>AG16-(AW16+AX16)</f>
        <v>2023.09</v>
      </c>
      <c r="AZ16" s="147">
        <f t="shared" si="18"/>
        <v>2534.1</v>
      </c>
      <c r="BA16" s="138"/>
      <c r="BB16" s="138"/>
      <c r="BC16" s="147">
        <f t="shared" si="0"/>
        <v>0</v>
      </c>
      <c r="BD16" s="147">
        <f t="shared" si="19"/>
        <v>2534.1</v>
      </c>
      <c r="BE16" s="147">
        <f t="shared" si="11"/>
        <v>701.26</v>
      </c>
      <c r="BF16" s="142"/>
    </row>
    <row r="17" spans="1:58" s="218" customFormat="1" ht="74.25" customHeight="1">
      <c r="A17" s="211">
        <v>11</v>
      </c>
      <c r="B17" s="212" t="s">
        <v>97</v>
      </c>
      <c r="C17" s="212">
        <v>0.5</v>
      </c>
      <c r="D17" s="212" t="s">
        <v>102</v>
      </c>
      <c r="E17" s="211">
        <v>19</v>
      </c>
      <c r="F17" s="211">
        <v>76</v>
      </c>
      <c r="G17" s="213">
        <v>725</v>
      </c>
      <c r="H17" s="213">
        <f t="shared" si="12"/>
        <v>725</v>
      </c>
      <c r="I17" s="213"/>
      <c r="J17" s="213">
        <f>H17+I17</f>
        <v>725</v>
      </c>
      <c r="K17" s="214"/>
      <c r="L17" s="213"/>
      <c r="M17" s="213">
        <f>J17+L17</f>
        <v>725</v>
      </c>
      <c r="N17" s="214"/>
      <c r="O17" s="213"/>
      <c r="P17" s="214">
        <v>0.1</v>
      </c>
      <c r="Q17" s="215">
        <f>J17*P17</f>
        <v>72.5</v>
      </c>
      <c r="R17" s="214"/>
      <c r="S17" s="213">
        <f t="shared" si="4"/>
        <v>0</v>
      </c>
      <c r="T17" s="213"/>
      <c r="U17" s="213"/>
      <c r="V17" s="213"/>
      <c r="W17" s="216"/>
      <c r="X17" s="213"/>
      <c r="Y17" s="216"/>
      <c r="Z17" s="213"/>
      <c r="AA17" s="216"/>
      <c r="AB17" s="213"/>
      <c r="AC17" s="213"/>
      <c r="AD17" s="213"/>
      <c r="AE17" s="213"/>
      <c r="AF17" s="213"/>
      <c r="AG17" s="217">
        <f t="shared" si="5"/>
        <v>797.5</v>
      </c>
      <c r="AH17" s="220">
        <v>7</v>
      </c>
      <c r="AI17" s="213">
        <v>253.84</v>
      </c>
      <c r="AJ17" s="213">
        <f t="shared" si="6"/>
        <v>543.66</v>
      </c>
      <c r="AK17" s="213">
        <v>1033.5</v>
      </c>
      <c r="AL17" s="213">
        <f>AI17*18%/2</f>
        <v>22.85</v>
      </c>
      <c r="AM17" s="213">
        <v>-22.85</v>
      </c>
      <c r="AN17" s="213"/>
      <c r="AO17" s="217">
        <f t="shared" si="13"/>
        <v>0</v>
      </c>
      <c r="AP17" s="213">
        <f t="shared" si="7"/>
        <v>3.81</v>
      </c>
      <c r="AQ17" s="213">
        <f t="shared" si="8"/>
        <v>8.15</v>
      </c>
      <c r="AR17" s="217">
        <f t="shared" si="14"/>
        <v>11.96</v>
      </c>
      <c r="AS17" s="217"/>
      <c r="AT17" s="213">
        <f t="shared" si="9"/>
        <v>7.98</v>
      </c>
      <c r="AU17" s="213">
        <f>AL17+AP17</f>
        <v>26.66</v>
      </c>
      <c r="AV17" s="213">
        <f t="shared" si="15"/>
        <v>-6.72</v>
      </c>
      <c r="AW17" s="217">
        <f>AO17+AR17+AT17</f>
        <v>19.94</v>
      </c>
      <c r="AX17" s="213">
        <f t="shared" si="17"/>
        <v>227.18</v>
      </c>
      <c r="AY17" s="213">
        <f>AG17-(AW17+AX17)</f>
        <v>550.38</v>
      </c>
      <c r="AZ17" s="217">
        <f t="shared" si="18"/>
        <v>777.56</v>
      </c>
      <c r="BA17" s="213"/>
      <c r="BB17" s="213"/>
      <c r="BC17" s="217">
        <f>SUM(BA17:BB17)</f>
        <v>0</v>
      </c>
      <c r="BD17" s="217">
        <f t="shared" si="19"/>
        <v>777.56</v>
      </c>
      <c r="BE17" s="217">
        <f t="shared" si="11"/>
        <v>175.45</v>
      </c>
      <c r="BF17" s="221"/>
    </row>
    <row r="18" spans="1:58" s="143" customFormat="1" ht="74.25" customHeight="1">
      <c r="A18" s="136">
        <v>12</v>
      </c>
      <c r="B18" s="174" t="s">
        <v>57</v>
      </c>
      <c r="C18" s="174">
        <v>1</v>
      </c>
      <c r="D18" s="174" t="s">
        <v>95</v>
      </c>
      <c r="E18" s="136">
        <v>19</v>
      </c>
      <c r="F18" s="136">
        <v>152</v>
      </c>
      <c r="G18" s="138">
        <v>1450</v>
      </c>
      <c r="H18" s="138">
        <f t="shared" si="12"/>
        <v>1450</v>
      </c>
      <c r="I18" s="138"/>
      <c r="J18" s="138">
        <f t="shared" si="2"/>
        <v>1450</v>
      </c>
      <c r="K18" s="139"/>
      <c r="L18" s="138"/>
      <c r="M18" s="138">
        <f t="shared" si="3"/>
        <v>1450</v>
      </c>
      <c r="N18" s="138"/>
      <c r="O18" s="138"/>
      <c r="P18" s="139">
        <v>0.1</v>
      </c>
      <c r="Q18" s="120">
        <f>J18*P18</f>
        <v>145</v>
      </c>
      <c r="R18" s="139">
        <v>0.4</v>
      </c>
      <c r="S18" s="138">
        <f t="shared" si="4"/>
        <v>580</v>
      </c>
      <c r="T18" s="138"/>
      <c r="U18" s="138"/>
      <c r="V18" s="138"/>
      <c r="W18" s="140"/>
      <c r="X18" s="138"/>
      <c r="Y18" s="140"/>
      <c r="Z18" s="138"/>
      <c r="AA18" s="140"/>
      <c r="AB18" s="138"/>
      <c r="AC18" s="138"/>
      <c r="AD18" s="138">
        <v>802.44</v>
      </c>
      <c r="AE18" s="138"/>
      <c r="AF18" s="138"/>
      <c r="AG18" s="147">
        <f>AB18+Z18+X18+V18+S18+Q18+O18+M18+T18+AC18+AF18+U18+AE18+AD18</f>
        <v>2977.44</v>
      </c>
      <c r="AH18" s="210">
        <v>7</v>
      </c>
      <c r="AI18" s="138">
        <v>507.68</v>
      </c>
      <c r="AJ18" s="138">
        <f t="shared" si="6"/>
        <v>2469.76</v>
      </c>
      <c r="AK18" s="138">
        <f>1378*0.5</f>
        <v>689</v>
      </c>
      <c r="AL18" s="138">
        <f>AI18*18%</f>
        <v>91.38</v>
      </c>
      <c r="AM18" s="138">
        <f>(AG18-AK18)*18%-AL18</f>
        <v>320.54</v>
      </c>
      <c r="AN18" s="138"/>
      <c r="AO18" s="147">
        <f t="shared" si="13"/>
        <v>411.92</v>
      </c>
      <c r="AP18" s="138">
        <f t="shared" si="7"/>
        <v>7.62</v>
      </c>
      <c r="AQ18" s="138">
        <f t="shared" si="8"/>
        <v>37.04</v>
      </c>
      <c r="AR18" s="147">
        <f t="shared" si="14"/>
        <v>44.66</v>
      </c>
      <c r="AS18" s="147"/>
      <c r="AT18" s="138">
        <f t="shared" si="9"/>
        <v>29.77</v>
      </c>
      <c r="AU18" s="138">
        <f t="shared" si="10"/>
        <v>99</v>
      </c>
      <c r="AV18" s="138">
        <f t="shared" si="15"/>
        <v>387.35</v>
      </c>
      <c r="AW18" s="147">
        <f t="shared" si="16"/>
        <v>486.35</v>
      </c>
      <c r="AX18" s="138">
        <f t="shared" si="17"/>
        <v>408.68</v>
      </c>
      <c r="AY18" s="138">
        <f>AG18-(AW18+AX18)</f>
        <v>2082.41</v>
      </c>
      <c r="AZ18" s="147">
        <f t="shared" si="18"/>
        <v>2491.09</v>
      </c>
      <c r="BA18" s="138"/>
      <c r="BB18" s="138"/>
      <c r="BC18" s="147">
        <f t="shared" si="0"/>
        <v>0</v>
      </c>
      <c r="BD18" s="147">
        <f t="shared" si="19"/>
        <v>2491.09</v>
      </c>
      <c r="BE18" s="147">
        <f t="shared" si="11"/>
        <v>655.04</v>
      </c>
      <c r="BF18" s="142"/>
    </row>
    <row r="19" spans="1:58" s="143" customFormat="1" ht="74.25" customHeight="1">
      <c r="A19" s="136">
        <v>13</v>
      </c>
      <c r="B19" s="174" t="s">
        <v>59</v>
      </c>
      <c r="C19" s="174">
        <v>1</v>
      </c>
      <c r="D19" s="174" t="s">
        <v>95</v>
      </c>
      <c r="E19" s="136">
        <v>19</v>
      </c>
      <c r="F19" s="136">
        <v>152</v>
      </c>
      <c r="G19" s="138">
        <v>1450</v>
      </c>
      <c r="H19" s="138">
        <f t="shared" si="12"/>
        <v>1450</v>
      </c>
      <c r="I19" s="138"/>
      <c r="J19" s="138">
        <f>H19</f>
        <v>1450</v>
      </c>
      <c r="K19" s="139"/>
      <c r="L19" s="138"/>
      <c r="M19" s="138">
        <f t="shared" si="3"/>
        <v>1450</v>
      </c>
      <c r="N19" s="138"/>
      <c r="O19" s="138"/>
      <c r="P19" s="139">
        <v>0.1</v>
      </c>
      <c r="Q19" s="120">
        <f>J19*P19</f>
        <v>145</v>
      </c>
      <c r="R19" s="139">
        <v>0.4</v>
      </c>
      <c r="S19" s="138">
        <f t="shared" si="4"/>
        <v>580</v>
      </c>
      <c r="T19" s="138"/>
      <c r="U19" s="138"/>
      <c r="V19" s="138"/>
      <c r="W19" s="140"/>
      <c r="X19" s="138"/>
      <c r="Y19" s="140"/>
      <c r="Z19" s="138"/>
      <c r="AA19" s="140"/>
      <c r="AB19" s="138"/>
      <c r="AC19" s="138"/>
      <c r="AE19" s="138"/>
      <c r="AF19" s="138"/>
      <c r="AG19" s="147">
        <f>AB19+Z19+X19+V19+S19+Q19+O19+M19+T19+AC19+AF19+U19+AE19</f>
        <v>2175</v>
      </c>
      <c r="AH19" s="210">
        <v>7</v>
      </c>
      <c r="AI19" s="138">
        <v>507.68</v>
      </c>
      <c r="AJ19" s="138">
        <f t="shared" si="6"/>
        <v>1667.32</v>
      </c>
      <c r="AK19" s="138">
        <v>1033.5</v>
      </c>
      <c r="AL19" s="138">
        <f>AI19*18%/2</f>
        <v>45.69</v>
      </c>
      <c r="AM19" s="138">
        <f>(AG19-AK19)*18%-AL19</f>
        <v>159.78</v>
      </c>
      <c r="AN19" s="138"/>
      <c r="AO19" s="147">
        <f t="shared" si="13"/>
        <v>205.47</v>
      </c>
      <c r="AP19" s="138">
        <f t="shared" si="7"/>
        <v>7.62</v>
      </c>
      <c r="AQ19" s="138">
        <f t="shared" si="8"/>
        <v>25.01</v>
      </c>
      <c r="AR19" s="147">
        <f t="shared" si="14"/>
        <v>32.63</v>
      </c>
      <c r="AS19" s="147"/>
      <c r="AT19" s="138">
        <f t="shared" si="9"/>
        <v>21.75</v>
      </c>
      <c r="AU19" s="138">
        <f>AL19+AP19</f>
        <v>53.31</v>
      </c>
      <c r="AV19" s="138">
        <f t="shared" si="15"/>
        <v>206.54</v>
      </c>
      <c r="AW19" s="147">
        <f t="shared" si="16"/>
        <v>259.85</v>
      </c>
      <c r="AX19" s="138">
        <f t="shared" si="17"/>
        <v>454.37</v>
      </c>
      <c r="AY19" s="138">
        <f>AG19-(AW19+AX19)</f>
        <v>1460.78</v>
      </c>
      <c r="AZ19" s="147">
        <f t="shared" si="18"/>
        <v>1915.15</v>
      </c>
      <c r="BA19" s="138"/>
      <c r="BB19" s="138"/>
      <c r="BC19" s="147">
        <f t="shared" si="0"/>
        <v>0</v>
      </c>
      <c r="BD19" s="147">
        <f t="shared" si="19"/>
        <v>1915.15</v>
      </c>
      <c r="BE19" s="147">
        <f t="shared" si="11"/>
        <v>478.5</v>
      </c>
      <c r="BF19" s="142"/>
    </row>
    <row r="20" spans="1:58" ht="74.25" customHeight="1">
      <c r="A20" s="114"/>
      <c r="B20" s="148" t="s">
        <v>12</v>
      </c>
      <c r="C20" s="148">
        <f>SUM(C13:C19)</f>
        <v>6.5</v>
      </c>
      <c r="D20" s="148"/>
      <c r="E20" s="115"/>
      <c r="F20" s="149">
        <f>SUM(F12:F19)</f>
        <v>1052</v>
      </c>
      <c r="G20" s="157">
        <f>SUM(G12:G19)</f>
        <v>12240</v>
      </c>
      <c r="H20" s="157">
        <f>SUM(H12:H19)</f>
        <v>11242.47</v>
      </c>
      <c r="I20" s="157">
        <f>SUM(I12:I19)</f>
        <v>0</v>
      </c>
      <c r="J20" s="157">
        <f>SUM(J12:J19)</f>
        <v>11242.47</v>
      </c>
      <c r="K20" s="157"/>
      <c r="L20" s="157">
        <f>SUM(L12:L19)</f>
        <v>1119.95</v>
      </c>
      <c r="M20" s="157">
        <f>SUM(M12:M19)</f>
        <v>12362.42</v>
      </c>
      <c r="N20" s="157"/>
      <c r="O20" s="157">
        <f>SUM(O12:O19)</f>
        <v>4248.11</v>
      </c>
      <c r="P20" s="157"/>
      <c r="Q20" s="157">
        <f>SUM(Q12:Q19)</f>
        <v>362.5</v>
      </c>
      <c r="R20" s="157"/>
      <c r="S20" s="157">
        <f aca="true" t="shared" si="20" ref="S20:Z20">SUM(S12:S19)</f>
        <v>2620.01</v>
      </c>
      <c r="T20" s="157">
        <f t="shared" si="20"/>
        <v>0</v>
      </c>
      <c r="U20" s="157">
        <f t="shared" si="20"/>
        <v>0</v>
      </c>
      <c r="V20" s="157">
        <f t="shared" si="20"/>
        <v>0</v>
      </c>
      <c r="W20" s="157">
        <f t="shared" si="20"/>
        <v>0</v>
      </c>
      <c r="X20" s="157">
        <f t="shared" si="20"/>
        <v>0</v>
      </c>
      <c r="Y20" s="157">
        <f t="shared" si="20"/>
        <v>0</v>
      </c>
      <c r="Z20" s="157">
        <f t="shared" si="20"/>
        <v>0</v>
      </c>
      <c r="AA20" s="159"/>
      <c r="AB20" s="157">
        <f>SUM(AB12:AB19)</f>
        <v>1681.2</v>
      </c>
      <c r="AC20" s="157">
        <f>SUM(AC12:AC19)</f>
        <v>0</v>
      </c>
      <c r="AD20" s="157"/>
      <c r="AE20" s="157">
        <f>SUM(AE12:AE19)</f>
        <v>0</v>
      </c>
      <c r="AF20" s="157">
        <f>SUM(AF12:AF19)</f>
        <v>0</v>
      </c>
      <c r="AG20" s="157">
        <f>SUM(AG12:AG19)</f>
        <v>22076.68</v>
      </c>
      <c r="AH20" s="157"/>
      <c r="AI20" s="157">
        <f aca="true" t="shared" si="21" ref="AI20:BE20">SUM(AI12:AI19)</f>
        <v>3808.36</v>
      </c>
      <c r="AJ20" s="157">
        <f t="shared" si="21"/>
        <v>18268.32</v>
      </c>
      <c r="AK20" s="157">
        <f t="shared" si="21"/>
        <v>2756</v>
      </c>
      <c r="AL20" s="157">
        <f t="shared" si="21"/>
        <v>616.96</v>
      </c>
      <c r="AM20" s="157">
        <f t="shared" si="21"/>
        <v>2903.24</v>
      </c>
      <c r="AN20" s="157">
        <f t="shared" si="21"/>
        <v>0</v>
      </c>
      <c r="AO20" s="157">
        <f t="shared" si="21"/>
        <v>3520.2</v>
      </c>
      <c r="AP20" s="157">
        <f t="shared" si="21"/>
        <v>57.13</v>
      </c>
      <c r="AQ20" s="157">
        <f t="shared" si="21"/>
        <v>274.02</v>
      </c>
      <c r="AR20" s="157">
        <f t="shared" si="21"/>
        <v>331.15</v>
      </c>
      <c r="AS20" s="157">
        <f t="shared" si="21"/>
        <v>0</v>
      </c>
      <c r="AT20" s="157">
        <f t="shared" si="21"/>
        <v>220.78</v>
      </c>
      <c r="AU20" s="157">
        <f t="shared" si="21"/>
        <v>674.09</v>
      </c>
      <c r="AV20" s="157">
        <f t="shared" si="21"/>
        <v>3398.04</v>
      </c>
      <c r="AW20" s="157">
        <f t="shared" si="21"/>
        <v>4072.13</v>
      </c>
      <c r="AX20" s="157">
        <f t="shared" si="21"/>
        <v>3134.27</v>
      </c>
      <c r="AY20" s="157">
        <f t="shared" si="21"/>
        <v>12047.62</v>
      </c>
      <c r="AZ20" s="157">
        <f t="shared" si="21"/>
        <v>15181.89</v>
      </c>
      <c r="BA20" s="157">
        <f t="shared" si="21"/>
        <v>0</v>
      </c>
      <c r="BB20" s="157">
        <f t="shared" si="21"/>
        <v>2780.66</v>
      </c>
      <c r="BC20" s="157">
        <f t="shared" si="21"/>
        <v>2780.66</v>
      </c>
      <c r="BD20" s="157">
        <f t="shared" si="21"/>
        <v>17962.55</v>
      </c>
      <c r="BE20" s="157">
        <f t="shared" si="21"/>
        <v>4856.87</v>
      </c>
      <c r="BF20" s="129"/>
    </row>
    <row r="21" spans="1:58" ht="74.25" customHeight="1">
      <c r="A21" s="114"/>
      <c r="B21" s="148" t="s">
        <v>3</v>
      </c>
      <c r="C21" s="148">
        <f>C20+C11</f>
        <v>11.5</v>
      </c>
      <c r="D21" s="148"/>
      <c r="E21" s="149"/>
      <c r="F21" s="149">
        <f>F20+F11</f>
        <v>1812</v>
      </c>
      <c r="G21" s="126">
        <f>G20+G11</f>
        <v>22993</v>
      </c>
      <c r="H21" s="126">
        <f>H11+H20</f>
        <v>21995.47</v>
      </c>
      <c r="I21" s="134">
        <f>I20+I11</f>
        <v>335</v>
      </c>
      <c r="J21" s="134">
        <f>J20+J11</f>
        <v>22330.47</v>
      </c>
      <c r="K21" s="150"/>
      <c r="L21" s="134">
        <f>L20+L11</f>
        <v>3026.75</v>
      </c>
      <c r="M21" s="134">
        <f>M20+M11</f>
        <v>25357.22</v>
      </c>
      <c r="N21" s="134"/>
      <c r="O21" s="134">
        <f>O20+O11</f>
        <v>4248.11</v>
      </c>
      <c r="P21" s="134"/>
      <c r="Q21" s="134">
        <f>Q20+Q11</f>
        <v>362.5</v>
      </c>
      <c r="R21" s="134"/>
      <c r="S21" s="134">
        <f aca="true" t="shared" si="22" ref="S21:Z21">S20+S11</f>
        <v>13028.41</v>
      </c>
      <c r="T21" s="134">
        <f t="shared" si="22"/>
        <v>0</v>
      </c>
      <c r="U21" s="134">
        <f t="shared" si="22"/>
        <v>0</v>
      </c>
      <c r="V21" s="134">
        <f t="shared" si="22"/>
        <v>0</v>
      </c>
      <c r="W21" s="135">
        <f t="shared" si="22"/>
        <v>0</v>
      </c>
      <c r="X21" s="134">
        <f t="shared" si="22"/>
        <v>0</v>
      </c>
      <c r="Y21" s="135">
        <f t="shared" si="22"/>
        <v>0</v>
      </c>
      <c r="Z21" s="134">
        <f t="shared" si="22"/>
        <v>0</v>
      </c>
      <c r="AA21" s="158"/>
      <c r="AB21" s="134">
        <f>AB20+AB11</f>
        <v>1681.2</v>
      </c>
      <c r="AC21" s="134">
        <f>AC20+AC11</f>
        <v>0</v>
      </c>
      <c r="AD21" s="134"/>
      <c r="AE21" s="134">
        <f>AE20+AE11</f>
        <v>0</v>
      </c>
      <c r="AF21" s="134">
        <f>AF20+AF11</f>
        <v>0</v>
      </c>
      <c r="AG21" s="134">
        <f>AG20+AG11</f>
        <v>45479.88</v>
      </c>
      <c r="AH21" s="134"/>
      <c r="AI21" s="134">
        <f aca="true" t="shared" si="23" ref="AI21:AY21">AI20+AI11</f>
        <v>6864.78</v>
      </c>
      <c r="AJ21" s="134">
        <f t="shared" si="23"/>
        <v>38615.1</v>
      </c>
      <c r="AK21" s="134">
        <f t="shared" si="23"/>
        <v>2756</v>
      </c>
      <c r="AL21" s="134">
        <f t="shared" si="23"/>
        <v>1167.11</v>
      </c>
      <c r="AM21" s="134">
        <f t="shared" si="23"/>
        <v>6565.66</v>
      </c>
      <c r="AN21" s="134">
        <f t="shared" si="23"/>
        <v>0</v>
      </c>
      <c r="AO21" s="134">
        <f t="shared" si="23"/>
        <v>7732.77</v>
      </c>
      <c r="AP21" s="134">
        <f t="shared" si="23"/>
        <v>102.97</v>
      </c>
      <c r="AQ21" s="134">
        <f t="shared" si="23"/>
        <v>579.23</v>
      </c>
      <c r="AR21" s="134">
        <f t="shared" si="23"/>
        <v>682.2</v>
      </c>
      <c r="AS21" s="134">
        <f t="shared" si="23"/>
        <v>0</v>
      </c>
      <c r="AT21" s="134">
        <f t="shared" si="23"/>
        <v>454.82</v>
      </c>
      <c r="AU21" s="134">
        <f t="shared" si="23"/>
        <v>1270.08</v>
      </c>
      <c r="AV21" s="134">
        <f t="shared" si="23"/>
        <v>7599.71</v>
      </c>
      <c r="AW21" s="134">
        <f t="shared" si="23"/>
        <v>8869.79</v>
      </c>
      <c r="AX21" s="134">
        <f t="shared" si="23"/>
        <v>5594.7</v>
      </c>
      <c r="AY21" s="134">
        <f t="shared" si="23"/>
        <v>28192.73</v>
      </c>
      <c r="AZ21" s="126">
        <f>SUM(AX21:AY21)</f>
        <v>33787.43</v>
      </c>
      <c r="BA21" s="134">
        <f>BA20+BA11</f>
        <v>0</v>
      </c>
      <c r="BB21" s="134">
        <f>BB20+BB11</f>
        <v>2780.66</v>
      </c>
      <c r="BC21" s="126">
        <f t="shared" si="0"/>
        <v>2780.66</v>
      </c>
      <c r="BD21" s="126">
        <f>AZ21+BC21</f>
        <v>36568.09</v>
      </c>
      <c r="BE21" s="128">
        <f>AG21*22%</f>
        <v>10005.57</v>
      </c>
      <c r="BF21" s="129"/>
    </row>
    <row r="22" spans="1:58" ht="74.25" customHeight="1">
      <c r="A22" s="114"/>
      <c r="B22" s="101"/>
      <c r="C22" s="101"/>
      <c r="D22" s="101"/>
      <c r="E22" s="115"/>
      <c r="F22" s="115"/>
      <c r="G22" s="116"/>
      <c r="H22" s="117"/>
      <c r="I22" s="118"/>
      <c r="J22" s="118"/>
      <c r="K22" s="119"/>
      <c r="L22" s="116"/>
      <c r="M22" s="116"/>
      <c r="N22" s="139"/>
      <c r="O22" s="116"/>
      <c r="P22" s="116"/>
      <c r="Q22" s="120"/>
      <c r="R22" s="119"/>
      <c r="S22" s="116"/>
      <c r="T22" s="118"/>
      <c r="U22" s="118"/>
      <c r="V22" s="118"/>
      <c r="W22" s="111"/>
      <c r="X22" s="118"/>
      <c r="Y22" s="121"/>
      <c r="Z22" s="116"/>
      <c r="AA22" s="121"/>
      <c r="AB22" s="116"/>
      <c r="AC22" s="116"/>
      <c r="AD22" s="116"/>
      <c r="AE22" s="116"/>
      <c r="AF22" s="124"/>
      <c r="AG22" s="122"/>
      <c r="AH22" s="123"/>
      <c r="AI22" s="124"/>
      <c r="AJ22" s="118"/>
      <c r="AK22" s="116"/>
      <c r="AL22" s="116"/>
      <c r="AM22" s="116"/>
      <c r="AN22" s="116"/>
      <c r="AO22" s="125"/>
      <c r="AP22" s="116"/>
      <c r="AQ22" s="116"/>
      <c r="AR22" s="125"/>
      <c r="AS22" s="125"/>
      <c r="AT22" s="116"/>
      <c r="AU22" s="116"/>
      <c r="AV22" s="116"/>
      <c r="AW22" s="125"/>
      <c r="AX22" s="124"/>
      <c r="AY22" s="124"/>
      <c r="AZ22" s="126"/>
      <c r="BA22" s="127"/>
      <c r="BB22" s="124"/>
      <c r="BC22" s="126"/>
      <c r="BD22" s="126"/>
      <c r="BE22" s="128"/>
      <c r="BF22" s="129"/>
    </row>
    <row r="23" spans="1:58" ht="74.2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0"/>
      <c r="U23" s="110"/>
      <c r="V23" s="110"/>
      <c r="W23" s="110"/>
      <c r="X23" s="110"/>
      <c r="Y23" s="114"/>
      <c r="Z23" s="114"/>
      <c r="AA23" s="114"/>
      <c r="AB23" s="114"/>
      <c r="AC23" s="114"/>
      <c r="AD23" s="114"/>
      <c r="AE23" s="114"/>
      <c r="AF23" s="114"/>
      <c r="AG23" s="128"/>
      <c r="AH23" s="128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6"/>
      <c r="AZ23" s="116"/>
      <c r="BA23" s="114"/>
      <c r="BB23" s="151"/>
      <c r="BC23" s="116"/>
      <c r="BD23" s="116"/>
      <c r="BE23" s="128">
        <f>BE22+BE21</f>
        <v>10005.57</v>
      </c>
      <c r="BF23" s="129"/>
    </row>
    <row r="24" spans="20:58" ht="74.25" customHeight="1">
      <c r="T24" s="143"/>
      <c r="U24" s="143"/>
      <c r="V24" s="143"/>
      <c r="W24" s="143"/>
      <c r="X24" s="143"/>
      <c r="AG24" s="152"/>
      <c r="BE24" s="99">
        <v>143.55</v>
      </c>
      <c r="BF24" s="129"/>
    </row>
    <row r="25" spans="20:58" ht="74.25" customHeight="1">
      <c r="T25" s="143"/>
      <c r="U25" s="143"/>
      <c r="V25" s="143"/>
      <c r="W25" s="143"/>
      <c r="X25" s="143"/>
      <c r="BE25" s="163">
        <f>BE23+BE24</f>
        <v>10149.12</v>
      </c>
      <c r="BF25" s="129"/>
    </row>
    <row r="26" spans="20:58" ht="74.25" customHeight="1">
      <c r="T26" s="143"/>
      <c r="U26" s="143"/>
      <c r="V26" s="143"/>
      <c r="W26" s="143"/>
      <c r="X26" s="143"/>
      <c r="BF26" s="129"/>
    </row>
    <row r="27" spans="20:58" ht="74.25" customHeight="1">
      <c r="T27" s="143"/>
      <c r="U27" s="143"/>
      <c r="V27" s="143"/>
      <c r="W27" s="143"/>
      <c r="X27" s="143"/>
      <c r="BF27" s="129"/>
    </row>
    <row r="28" spans="20:58" ht="74.25" customHeight="1">
      <c r="T28" s="143"/>
      <c r="U28" s="143"/>
      <c r="V28" s="143"/>
      <c r="W28" s="143"/>
      <c r="X28" s="143"/>
      <c r="BF28" s="129"/>
    </row>
    <row r="29" spans="20:58" ht="74.25" customHeight="1">
      <c r="T29" s="143"/>
      <c r="U29" s="143"/>
      <c r="V29" s="143"/>
      <c r="W29" s="143"/>
      <c r="X29" s="143"/>
      <c r="BF29" s="129"/>
    </row>
    <row r="30" spans="20:58" ht="74.25" customHeight="1">
      <c r="T30" s="143"/>
      <c r="U30" s="143"/>
      <c r="V30" s="143"/>
      <c r="W30" s="143"/>
      <c r="X30" s="143"/>
      <c r="BF30" s="129"/>
    </row>
    <row r="31" spans="20:58" ht="74.25" customHeight="1">
      <c r="T31" s="143"/>
      <c r="U31" s="143"/>
      <c r="V31" s="143"/>
      <c r="W31" s="143"/>
      <c r="X31" s="143"/>
      <c r="BF31" s="129"/>
    </row>
    <row r="32" spans="20:58" ht="74.25" customHeight="1">
      <c r="T32" s="143"/>
      <c r="U32" s="143"/>
      <c r="V32" s="143"/>
      <c r="W32" s="143"/>
      <c r="X32" s="143"/>
      <c r="BF32" s="129"/>
    </row>
    <row r="33" spans="20:58" ht="74.25" customHeight="1">
      <c r="T33" s="143"/>
      <c r="U33" s="143"/>
      <c r="V33" s="143"/>
      <c r="W33" s="143"/>
      <c r="X33" s="143"/>
      <c r="BF33" s="129"/>
    </row>
    <row r="34" spans="20:58" ht="74.25" customHeight="1">
      <c r="T34" s="143"/>
      <c r="U34" s="143"/>
      <c r="V34" s="143"/>
      <c r="W34" s="143"/>
      <c r="X34" s="143"/>
      <c r="BF34" s="129"/>
    </row>
    <row r="35" spans="20:58" ht="74.25" customHeight="1">
      <c r="T35" s="143"/>
      <c r="U35" s="143"/>
      <c r="V35" s="143"/>
      <c r="W35" s="143"/>
      <c r="X35" s="143"/>
      <c r="BF35" s="129"/>
    </row>
    <row r="36" spans="20:58" ht="74.25" customHeight="1">
      <c r="T36" s="143"/>
      <c r="U36" s="143"/>
      <c r="V36" s="143"/>
      <c r="W36" s="143"/>
      <c r="X36" s="143"/>
      <c r="BF36" s="129"/>
    </row>
    <row r="37" spans="20:24" ht="74.25" customHeight="1">
      <c r="T37" s="143"/>
      <c r="U37" s="143"/>
      <c r="V37" s="143"/>
      <c r="W37" s="143"/>
      <c r="X37" s="143"/>
    </row>
    <row r="38" spans="20:24" ht="74.25" customHeight="1">
      <c r="T38" s="143"/>
      <c r="U38" s="143"/>
      <c r="V38" s="143"/>
      <c r="W38" s="143"/>
      <c r="X38" s="143"/>
    </row>
    <row r="39" spans="20:24" ht="74.25" customHeight="1">
      <c r="T39" s="143"/>
      <c r="U39" s="143"/>
      <c r="V39" s="143"/>
      <c r="W39" s="143"/>
      <c r="X39" s="143"/>
    </row>
  </sheetData>
  <sheetProtection/>
  <mergeCells count="50">
    <mergeCell ref="BA4:BB4"/>
    <mergeCell ref="BC4:BC5"/>
    <mergeCell ref="AN4:AN5"/>
    <mergeCell ref="AO4:AO5"/>
    <mergeCell ref="AP4:AQ4"/>
    <mergeCell ref="AR4:AR5"/>
    <mergeCell ref="AS4:AS5"/>
    <mergeCell ref="AD3:AD5"/>
    <mergeCell ref="AT4:AT5"/>
    <mergeCell ref="AK3:AW3"/>
    <mergeCell ref="AX3:BC3"/>
    <mergeCell ref="BD3:BD5"/>
    <mergeCell ref="BE3:BE5"/>
    <mergeCell ref="AK4:AK5"/>
    <mergeCell ref="AU4:AW4"/>
    <mergeCell ref="AX4:AY4"/>
    <mergeCell ref="AZ4:AZ5"/>
    <mergeCell ref="AL4:AM4"/>
    <mergeCell ref="AE3:AE5"/>
    <mergeCell ref="AF3:AF5"/>
    <mergeCell ref="AG3:AG5"/>
    <mergeCell ref="AH3:AH5"/>
    <mergeCell ref="AI3:AI5"/>
    <mergeCell ref="AJ3:AJ5"/>
    <mergeCell ref="T3:T5"/>
    <mergeCell ref="U3:U5"/>
    <mergeCell ref="V3:V5"/>
    <mergeCell ref="W3:Z3"/>
    <mergeCell ref="AA3:AB4"/>
    <mergeCell ref="AC3:AC5"/>
    <mergeCell ref="W4:X4"/>
    <mergeCell ref="Y4:Z4"/>
    <mergeCell ref="I3:I5"/>
    <mergeCell ref="J3:J5"/>
    <mergeCell ref="K3:L4"/>
    <mergeCell ref="M3:M5"/>
    <mergeCell ref="N3:Q3"/>
    <mergeCell ref="R3:S4"/>
    <mergeCell ref="N4:O4"/>
    <mergeCell ref="P4:Q4"/>
    <mergeCell ref="A1:Z1"/>
    <mergeCell ref="AG1:BC1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" right="0" top="0" bottom="0" header="0.31496062992125984" footer="0.31496062992125984"/>
  <pageSetup horizontalDpi="600" verticalDpi="600" orientation="landscape" paperSize="9" scale="17" r:id="rId2"/>
  <colBreaks count="2" manualBreakCount="2">
    <brk id="32" max="65535" man="1"/>
    <brk id="5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41"/>
  <sheetViews>
    <sheetView view="pageBreakPreview" zoomScale="30" zoomScaleNormal="30" zoomScaleSheetLayoutView="30" zoomScalePageLayoutView="0" workbookViewId="0" topLeftCell="A10">
      <selection activeCell="F2" sqref="F1:AH16384"/>
    </sheetView>
  </sheetViews>
  <sheetFormatPr defaultColWidth="15.7109375" defaultRowHeight="74.25" customHeight="1"/>
  <cols>
    <col min="1" max="1" width="10.28125" style="100" customWidth="1"/>
    <col min="2" max="2" width="49.140625" style="100" customWidth="1"/>
    <col min="3" max="3" width="17.7109375" style="100" customWidth="1"/>
    <col min="4" max="4" width="50.140625" style="100" customWidth="1"/>
    <col min="5" max="5" width="21.00390625" style="100" customWidth="1"/>
    <col min="6" max="6" width="19.7109375" style="100" customWidth="1"/>
    <col min="7" max="7" width="37.8515625" style="100" customWidth="1"/>
    <col min="8" max="8" width="35.00390625" style="100" customWidth="1"/>
    <col min="9" max="9" width="24.00390625" style="100" customWidth="1"/>
    <col min="10" max="10" width="27.140625" style="100" customWidth="1"/>
    <col min="11" max="11" width="19.00390625" style="100" customWidth="1"/>
    <col min="12" max="12" width="22.8515625" style="100" customWidth="1"/>
    <col min="13" max="13" width="25.421875" style="100" customWidth="1"/>
    <col min="14" max="14" width="15.7109375" style="100" customWidth="1"/>
    <col min="15" max="15" width="26.8515625" style="100" customWidth="1"/>
    <col min="16" max="16" width="18.28125" style="100" customWidth="1"/>
    <col min="17" max="17" width="22.28125" style="100" customWidth="1"/>
    <col min="18" max="18" width="18.00390625" style="100" customWidth="1"/>
    <col min="19" max="19" width="28.140625" style="100" customWidth="1"/>
    <col min="20" max="20" width="20.421875" style="100" customWidth="1"/>
    <col min="21" max="21" width="25.8515625" style="100" customWidth="1"/>
    <col min="22" max="22" width="23.57421875" style="100" customWidth="1"/>
    <col min="23" max="23" width="15.7109375" style="100" customWidth="1"/>
    <col min="24" max="24" width="22.421875" style="100" customWidth="1"/>
    <col min="25" max="25" width="15.7109375" style="100" customWidth="1"/>
    <col min="26" max="26" width="23.140625" style="100" customWidth="1"/>
    <col min="27" max="27" width="15.7109375" style="100" customWidth="1"/>
    <col min="28" max="28" width="24.00390625" style="100" customWidth="1"/>
    <col min="29" max="29" width="25.00390625" style="100" customWidth="1"/>
    <col min="30" max="30" width="24.28125" style="100" customWidth="1"/>
    <col min="31" max="31" width="23.7109375" style="100" customWidth="1"/>
    <col min="32" max="32" width="39.57421875" style="153" customWidth="1"/>
    <col min="33" max="33" width="31.7109375" style="153" customWidth="1"/>
    <col min="34" max="36" width="31.7109375" style="100" customWidth="1"/>
    <col min="37" max="37" width="41.7109375" style="100" customWidth="1"/>
    <col min="38" max="47" width="31.7109375" style="100" customWidth="1"/>
    <col min="48" max="48" width="34.7109375" style="100" customWidth="1"/>
    <col min="49" max="49" width="37.00390625" style="100" customWidth="1"/>
    <col min="50" max="50" width="33.28125" style="100" customWidth="1"/>
    <col min="51" max="51" width="35.57421875" style="100" customWidth="1"/>
    <col min="52" max="52" width="28.421875" style="100" customWidth="1"/>
    <col min="53" max="53" width="28.421875" style="153" customWidth="1"/>
    <col min="54" max="54" width="31.28125" style="100" customWidth="1"/>
    <col min="55" max="56" width="38.00390625" style="100" customWidth="1"/>
    <col min="57" max="16384" width="15.7109375" style="100" customWidth="1"/>
  </cols>
  <sheetData>
    <row r="1" spans="1:58" ht="74.25" customHeight="1">
      <c r="A1" s="379" t="s">
        <v>104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9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99"/>
      <c r="BD1" s="99"/>
      <c r="BE1" s="99"/>
      <c r="BF1" s="99"/>
    </row>
    <row r="2" spans="1:58" ht="74.25" customHeight="1">
      <c r="A2" s="155" t="s">
        <v>96</v>
      </c>
      <c r="B2" s="155"/>
      <c r="C2" s="155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6"/>
      <c r="AC2" s="156"/>
      <c r="AD2" s="156"/>
      <c r="AE2" s="156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4"/>
      <c r="BD2" s="154"/>
      <c r="BE2" s="99"/>
      <c r="BF2" s="99"/>
    </row>
    <row r="3" spans="1:56" ht="74.25" customHeight="1">
      <c r="A3" s="380" t="s">
        <v>0</v>
      </c>
      <c r="B3" s="380" t="s">
        <v>40</v>
      </c>
      <c r="C3" s="381" t="s">
        <v>53</v>
      </c>
      <c r="D3" s="380" t="s">
        <v>21</v>
      </c>
      <c r="E3" s="380" t="s">
        <v>1</v>
      </c>
      <c r="F3" s="380" t="s">
        <v>2</v>
      </c>
      <c r="G3" s="384" t="s">
        <v>65</v>
      </c>
      <c r="H3" s="384" t="s">
        <v>66</v>
      </c>
      <c r="I3" s="387" t="s">
        <v>7</v>
      </c>
      <c r="J3" s="387" t="s">
        <v>6</v>
      </c>
      <c r="K3" s="388" t="s">
        <v>8</v>
      </c>
      <c r="L3" s="389"/>
      <c r="M3" s="387" t="s">
        <v>6</v>
      </c>
      <c r="N3" s="388" t="s">
        <v>9</v>
      </c>
      <c r="O3" s="392"/>
      <c r="P3" s="392"/>
      <c r="Q3" s="392"/>
      <c r="R3" s="388" t="s">
        <v>10</v>
      </c>
      <c r="S3" s="389"/>
      <c r="T3" s="393" t="s">
        <v>99</v>
      </c>
      <c r="U3" s="396" t="s">
        <v>80</v>
      </c>
      <c r="V3" s="399" t="s">
        <v>107</v>
      </c>
      <c r="W3" s="388" t="s">
        <v>26</v>
      </c>
      <c r="X3" s="392"/>
      <c r="Y3" s="392"/>
      <c r="Z3" s="389"/>
      <c r="AA3" s="388" t="s">
        <v>106</v>
      </c>
      <c r="AB3" s="389"/>
      <c r="AC3" s="381" t="s">
        <v>105</v>
      </c>
      <c r="AD3" s="406" t="s">
        <v>55</v>
      </c>
      <c r="AE3" s="381" t="s">
        <v>77</v>
      </c>
      <c r="AF3" s="409" t="s">
        <v>13</v>
      </c>
      <c r="AG3" s="410" t="s">
        <v>68</v>
      </c>
      <c r="AH3" s="433" t="s">
        <v>31</v>
      </c>
      <c r="AI3" s="414" t="s">
        <v>32</v>
      </c>
      <c r="AJ3" s="417" t="s">
        <v>72</v>
      </c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8" t="s">
        <v>18</v>
      </c>
      <c r="AX3" s="419"/>
      <c r="AY3" s="419"/>
      <c r="AZ3" s="419"/>
      <c r="BA3" s="419"/>
      <c r="BB3" s="420"/>
      <c r="BC3" s="421" t="s">
        <v>73</v>
      </c>
      <c r="BD3" s="411" t="s">
        <v>84</v>
      </c>
    </row>
    <row r="4" spans="1:56" ht="74.25" customHeight="1">
      <c r="A4" s="380"/>
      <c r="B4" s="380"/>
      <c r="C4" s="382"/>
      <c r="D4" s="380"/>
      <c r="E4" s="380"/>
      <c r="F4" s="380"/>
      <c r="G4" s="385"/>
      <c r="H4" s="385"/>
      <c r="I4" s="387"/>
      <c r="J4" s="387"/>
      <c r="K4" s="390"/>
      <c r="L4" s="391"/>
      <c r="M4" s="387"/>
      <c r="N4" s="380" t="s">
        <v>24</v>
      </c>
      <c r="O4" s="380"/>
      <c r="P4" s="380" t="s">
        <v>25</v>
      </c>
      <c r="Q4" s="380"/>
      <c r="R4" s="390"/>
      <c r="S4" s="391"/>
      <c r="T4" s="394"/>
      <c r="U4" s="397"/>
      <c r="V4" s="400"/>
      <c r="W4" s="402" t="s">
        <v>28</v>
      </c>
      <c r="X4" s="403"/>
      <c r="Y4" s="402" t="s">
        <v>29</v>
      </c>
      <c r="Z4" s="403"/>
      <c r="AA4" s="404"/>
      <c r="AB4" s="405"/>
      <c r="AC4" s="382"/>
      <c r="AD4" s="407"/>
      <c r="AE4" s="382"/>
      <c r="AF4" s="409"/>
      <c r="AG4" s="410"/>
      <c r="AH4" s="434"/>
      <c r="AI4" s="415"/>
      <c r="AJ4" s="424" t="s">
        <v>64</v>
      </c>
      <c r="AK4" s="402" t="s">
        <v>54</v>
      </c>
      <c r="AL4" s="403"/>
      <c r="AM4" s="381" t="s">
        <v>63</v>
      </c>
      <c r="AN4" s="381" t="s">
        <v>51</v>
      </c>
      <c r="AO4" s="388" t="s">
        <v>69</v>
      </c>
      <c r="AP4" s="389"/>
      <c r="AQ4" s="384" t="s">
        <v>70</v>
      </c>
      <c r="AR4" s="384" t="s">
        <v>83</v>
      </c>
      <c r="AS4" s="384" t="s">
        <v>71</v>
      </c>
      <c r="AT4" s="430" t="s">
        <v>17</v>
      </c>
      <c r="AU4" s="431"/>
      <c r="AV4" s="432"/>
      <c r="AW4" s="418" t="s">
        <v>19</v>
      </c>
      <c r="AX4" s="420"/>
      <c r="AY4" s="426" t="s">
        <v>33</v>
      </c>
      <c r="AZ4" s="418" t="s">
        <v>20</v>
      </c>
      <c r="BA4" s="420"/>
      <c r="BB4" s="428" t="s">
        <v>33</v>
      </c>
      <c r="BC4" s="422"/>
      <c r="BD4" s="412"/>
    </row>
    <row r="5" spans="1:56" ht="74.25" customHeight="1">
      <c r="A5" s="380"/>
      <c r="B5" s="380"/>
      <c r="C5" s="383"/>
      <c r="D5" s="380"/>
      <c r="E5" s="380"/>
      <c r="F5" s="380"/>
      <c r="G5" s="386"/>
      <c r="H5" s="386"/>
      <c r="I5" s="387"/>
      <c r="J5" s="387"/>
      <c r="K5" s="162" t="s">
        <v>22</v>
      </c>
      <c r="L5" s="101" t="s">
        <v>23</v>
      </c>
      <c r="M5" s="387"/>
      <c r="N5" s="162" t="s">
        <v>22</v>
      </c>
      <c r="O5" s="101" t="s">
        <v>23</v>
      </c>
      <c r="P5" s="109" t="s">
        <v>22</v>
      </c>
      <c r="Q5" s="109" t="s">
        <v>23</v>
      </c>
      <c r="R5" s="162" t="s">
        <v>22</v>
      </c>
      <c r="S5" s="101" t="s">
        <v>23</v>
      </c>
      <c r="T5" s="395"/>
      <c r="U5" s="398"/>
      <c r="V5" s="401"/>
      <c r="W5" s="110" t="s">
        <v>27</v>
      </c>
      <c r="X5" s="110" t="s">
        <v>23</v>
      </c>
      <c r="Y5" s="111" t="s">
        <v>27</v>
      </c>
      <c r="Z5" s="110" t="s">
        <v>23</v>
      </c>
      <c r="AA5" s="110" t="s">
        <v>27</v>
      </c>
      <c r="AB5" s="110" t="s">
        <v>23</v>
      </c>
      <c r="AC5" s="383"/>
      <c r="AD5" s="408"/>
      <c r="AE5" s="383"/>
      <c r="AF5" s="409"/>
      <c r="AG5" s="410"/>
      <c r="AH5" s="435"/>
      <c r="AI5" s="416"/>
      <c r="AJ5" s="425"/>
      <c r="AK5" s="101" t="s">
        <v>15</v>
      </c>
      <c r="AL5" s="101" t="s">
        <v>16</v>
      </c>
      <c r="AM5" s="383"/>
      <c r="AN5" s="383"/>
      <c r="AO5" s="102" t="s">
        <v>15</v>
      </c>
      <c r="AP5" s="101" t="s">
        <v>16</v>
      </c>
      <c r="AQ5" s="386"/>
      <c r="AR5" s="386"/>
      <c r="AS5" s="386"/>
      <c r="AT5" s="102" t="s">
        <v>15</v>
      </c>
      <c r="AU5" s="101" t="s">
        <v>16</v>
      </c>
      <c r="AV5" s="104" t="s">
        <v>73</v>
      </c>
      <c r="AW5" s="112" t="s">
        <v>15</v>
      </c>
      <c r="AX5" s="113" t="s">
        <v>16</v>
      </c>
      <c r="AY5" s="427"/>
      <c r="AZ5" s="112" t="s">
        <v>15</v>
      </c>
      <c r="BA5" s="113" t="s">
        <v>16</v>
      </c>
      <c r="BB5" s="429"/>
      <c r="BC5" s="423"/>
      <c r="BD5" s="413"/>
    </row>
    <row r="6" spans="1:57" ht="74.25" customHeight="1">
      <c r="A6" s="114">
        <v>1</v>
      </c>
      <c r="B6" s="107" t="s">
        <v>60</v>
      </c>
      <c r="C6" s="101">
        <v>1</v>
      </c>
      <c r="D6" s="108" t="s">
        <v>89</v>
      </c>
      <c r="E6" s="115">
        <v>12</v>
      </c>
      <c r="F6" s="115">
        <v>95</v>
      </c>
      <c r="G6" s="116">
        <v>3127</v>
      </c>
      <c r="H6" s="117">
        <f>G6/20*E6</f>
        <v>1876.2</v>
      </c>
      <c r="I6" s="118">
        <v>90</v>
      </c>
      <c r="J6" s="118">
        <f>H6+I6</f>
        <v>1966.2</v>
      </c>
      <c r="K6" s="119"/>
      <c r="L6" s="116"/>
      <c r="M6" s="116">
        <f>J6+L6</f>
        <v>1966.2</v>
      </c>
      <c r="N6" s="116"/>
      <c r="O6" s="116"/>
      <c r="P6" s="116"/>
      <c r="Q6" s="120"/>
      <c r="R6" s="119">
        <v>1</v>
      </c>
      <c r="S6" s="116">
        <f>H6*R6</f>
        <v>1876.2</v>
      </c>
      <c r="T6" s="118"/>
      <c r="U6" s="118"/>
      <c r="V6" s="118">
        <v>59.45</v>
      </c>
      <c r="W6" s="111"/>
      <c r="X6" s="118"/>
      <c r="Y6" s="121"/>
      <c r="Z6" s="116"/>
      <c r="AA6" s="121">
        <v>12</v>
      </c>
      <c r="AB6" s="116">
        <v>2496</v>
      </c>
      <c r="AC6" s="116"/>
      <c r="AD6" s="116"/>
      <c r="AE6" s="116"/>
      <c r="AF6" s="122">
        <f>AB6+Z6+X6+V6+S6+Q6+O6+M6+T6+AC6+AE6+U6+AD6</f>
        <v>6397.85</v>
      </c>
      <c r="AG6" s="123">
        <v>11</v>
      </c>
      <c r="AH6" s="160">
        <v>1719.85</v>
      </c>
      <c r="AI6" s="118">
        <f>AF6-AH6</f>
        <v>4678</v>
      </c>
      <c r="AJ6" s="116"/>
      <c r="AK6" s="116">
        <f>AH6*18%</f>
        <v>309.57</v>
      </c>
      <c r="AL6" s="116">
        <f>(AF6-AJ6)*18%-AK6</f>
        <v>842.04</v>
      </c>
      <c r="AM6" s="116"/>
      <c r="AN6" s="125">
        <f>SUM(AK6:AM6)</f>
        <v>1151.61</v>
      </c>
      <c r="AO6" s="116">
        <f>AH6*1.5%</f>
        <v>25.8</v>
      </c>
      <c r="AP6" s="116">
        <f>AF6*1.5%-AO6</f>
        <v>70.17</v>
      </c>
      <c r="AQ6" s="125">
        <f>AO6+AP6</f>
        <v>95.97</v>
      </c>
      <c r="AR6" s="125"/>
      <c r="AS6" s="116">
        <f>AF6*1%</f>
        <v>63.98</v>
      </c>
      <c r="AT6" s="116">
        <f>AK6+AO6</f>
        <v>335.37</v>
      </c>
      <c r="AU6" s="116">
        <f>AL6+AM6+AP6+AS6</f>
        <v>976.19</v>
      </c>
      <c r="AV6" s="125">
        <f>AN6+AQ6+AS6</f>
        <v>1311.56</v>
      </c>
      <c r="AW6" s="124">
        <f>AH6-(AK6+AO6)</f>
        <v>1384.48</v>
      </c>
      <c r="AX6" s="124">
        <f>AF6-(AV6+AW6)</f>
        <v>3701.81</v>
      </c>
      <c r="AY6" s="126">
        <f>SUM(AW6:AX6)</f>
        <v>5086.29</v>
      </c>
      <c r="AZ6" s="127"/>
      <c r="BA6" s="124"/>
      <c r="BB6" s="126">
        <f>SUM(AZ6:BA6)</f>
        <v>0</v>
      </c>
      <c r="BC6" s="126">
        <f>AY6+BB6</f>
        <v>5086.29</v>
      </c>
      <c r="BD6" s="128">
        <f>AF6*22%</f>
        <v>1407.53</v>
      </c>
      <c r="BE6" s="129"/>
    </row>
    <row r="7" spans="1:57" ht="74.25" customHeight="1">
      <c r="A7" s="114">
        <v>2</v>
      </c>
      <c r="B7" s="107" t="s">
        <v>34</v>
      </c>
      <c r="C7" s="101">
        <v>1</v>
      </c>
      <c r="D7" s="108" t="s">
        <v>90</v>
      </c>
      <c r="E7" s="115">
        <v>20</v>
      </c>
      <c r="F7" s="115">
        <v>159</v>
      </c>
      <c r="G7" s="116">
        <v>2457</v>
      </c>
      <c r="H7" s="117">
        <f>G7/20*E7</f>
        <v>2457</v>
      </c>
      <c r="I7" s="118">
        <f>90</f>
        <v>90</v>
      </c>
      <c r="J7" s="118">
        <f>H7+I7</f>
        <v>2547</v>
      </c>
      <c r="K7" s="119">
        <v>0.4</v>
      </c>
      <c r="L7" s="116">
        <f>J7*K7</f>
        <v>1018.8</v>
      </c>
      <c r="M7" s="116">
        <f>J7+L7</f>
        <v>3565.8</v>
      </c>
      <c r="N7" s="116"/>
      <c r="O7" s="116"/>
      <c r="P7" s="116"/>
      <c r="Q7" s="120"/>
      <c r="R7" s="119">
        <v>1</v>
      </c>
      <c r="S7" s="116">
        <f>H7*R7</f>
        <v>2457</v>
      </c>
      <c r="T7" s="118"/>
      <c r="U7" s="118"/>
      <c r="V7" s="118">
        <v>59.45</v>
      </c>
      <c r="W7" s="111"/>
      <c r="X7" s="118"/>
      <c r="Y7" s="121"/>
      <c r="Z7" s="116"/>
      <c r="AA7" s="121"/>
      <c r="AB7" s="116"/>
      <c r="AC7" s="116"/>
      <c r="AD7" s="116"/>
      <c r="AE7" s="116"/>
      <c r="AF7" s="122">
        <f>AB7+Z7+X7+V7+S7+Q7+O7+M7+T7+AC7+AE7+U7+AD7</f>
        <v>6082.25</v>
      </c>
      <c r="AG7" s="123"/>
      <c r="AH7" s="160"/>
      <c r="AI7" s="118">
        <f>AF7-AH7</f>
        <v>6082.25</v>
      </c>
      <c r="AJ7" s="116"/>
      <c r="AK7" s="116">
        <f>AH7*18%</f>
        <v>0</v>
      </c>
      <c r="AL7" s="116">
        <f>(AF7-AJ7)*18%-AK7</f>
        <v>1094.81</v>
      </c>
      <c r="AM7" s="116"/>
      <c r="AN7" s="125">
        <f>SUM(AK7:AM7)</f>
        <v>1094.81</v>
      </c>
      <c r="AO7" s="116">
        <f>AH7*1.5%</f>
        <v>0</v>
      </c>
      <c r="AP7" s="116">
        <f>AF7*1.5%-AO7</f>
        <v>91.23</v>
      </c>
      <c r="AQ7" s="125">
        <f>AO7+AP7</f>
        <v>91.23</v>
      </c>
      <c r="AR7" s="125"/>
      <c r="AS7" s="116">
        <f>AF7*1%</f>
        <v>60.82</v>
      </c>
      <c r="AT7" s="116">
        <f>AK7+AO7</f>
        <v>0</v>
      </c>
      <c r="AU7" s="116">
        <f>AL7+AM7+AP7+AS7</f>
        <v>1246.86</v>
      </c>
      <c r="AV7" s="125">
        <f>AN7+AQ7+AS7</f>
        <v>1246.86</v>
      </c>
      <c r="AW7" s="124">
        <f>AH7-(AK7+AO7)</f>
        <v>0</v>
      </c>
      <c r="AX7" s="124">
        <f>AF7-(AV7+AW7)</f>
        <v>4835.39</v>
      </c>
      <c r="AY7" s="126">
        <f>SUM(AW7:AX7)</f>
        <v>4835.39</v>
      </c>
      <c r="AZ7" s="127"/>
      <c r="BA7" s="124"/>
      <c r="BB7" s="126">
        <f aca="true" t="shared" si="0" ref="BB7:BB22">SUM(AZ7:BA7)</f>
        <v>0</v>
      </c>
      <c r="BC7" s="126">
        <f>AY7+BB7</f>
        <v>4835.39</v>
      </c>
      <c r="BD7" s="128">
        <f>AF7*22%</f>
        <v>1338.1</v>
      </c>
      <c r="BE7" s="129"/>
    </row>
    <row r="8" spans="1:57" ht="74.25" customHeight="1">
      <c r="A8" s="114">
        <v>3</v>
      </c>
      <c r="B8" s="107" t="s">
        <v>36</v>
      </c>
      <c r="C8" s="101">
        <v>1</v>
      </c>
      <c r="D8" s="108" t="s">
        <v>91</v>
      </c>
      <c r="E8" s="115">
        <v>20</v>
      </c>
      <c r="F8" s="115">
        <v>159</v>
      </c>
      <c r="G8" s="116">
        <v>1723</v>
      </c>
      <c r="H8" s="117">
        <f>G8/20*E8</f>
        <v>1723</v>
      </c>
      <c r="I8" s="118">
        <f>55</f>
        <v>55</v>
      </c>
      <c r="J8" s="118">
        <f>H8+I8</f>
        <v>1778</v>
      </c>
      <c r="K8" s="119">
        <v>0.15</v>
      </c>
      <c r="L8" s="116">
        <f>J8*K8</f>
        <v>266.7</v>
      </c>
      <c r="M8" s="116">
        <f>J8+L8</f>
        <v>2044.7</v>
      </c>
      <c r="N8" s="116"/>
      <c r="O8" s="116"/>
      <c r="P8" s="116"/>
      <c r="Q8" s="120"/>
      <c r="R8" s="119">
        <v>1</v>
      </c>
      <c r="S8" s="116">
        <f>H8*R8</f>
        <v>1723</v>
      </c>
      <c r="T8" s="118"/>
      <c r="U8" s="118"/>
      <c r="V8" s="118">
        <v>59.45</v>
      </c>
      <c r="W8" s="111"/>
      <c r="X8" s="118"/>
      <c r="Y8" s="121"/>
      <c r="Z8" s="116"/>
      <c r="AA8" s="121"/>
      <c r="AB8" s="116"/>
      <c r="AC8" s="116"/>
      <c r="AD8" s="116"/>
      <c r="AE8" s="116"/>
      <c r="AF8" s="122">
        <f>AB8+Z8+X8+V8+S8+Q8+O8+M8+T8+AC8+AE8+U8+AD8</f>
        <v>3827.15</v>
      </c>
      <c r="AG8" s="123">
        <v>11</v>
      </c>
      <c r="AH8" s="160">
        <f>G8/E8*AG8</f>
        <v>947.65</v>
      </c>
      <c r="AI8" s="118">
        <f>AF8-AH8</f>
        <v>2879.5</v>
      </c>
      <c r="AJ8" s="116"/>
      <c r="AK8" s="116">
        <f>AH8*18%</f>
        <v>170.58</v>
      </c>
      <c r="AL8" s="116">
        <f>(AF8-AJ8)*18%-AK8</f>
        <v>518.31</v>
      </c>
      <c r="AM8" s="116"/>
      <c r="AN8" s="125">
        <f>SUM(AK8:AM8)</f>
        <v>688.89</v>
      </c>
      <c r="AO8" s="116">
        <f>AH8*1.5%</f>
        <v>14.21</v>
      </c>
      <c r="AP8" s="116">
        <f>AF8*1.5%-AO8</f>
        <v>43.2</v>
      </c>
      <c r="AQ8" s="125">
        <f>AO8+AP8</f>
        <v>57.41</v>
      </c>
      <c r="AR8" s="125"/>
      <c r="AS8" s="116">
        <f>AF8*1%</f>
        <v>38.27</v>
      </c>
      <c r="AT8" s="116">
        <f>AK8+AO8</f>
        <v>184.79</v>
      </c>
      <c r="AU8" s="116">
        <f>AL8+AM8+AP8+AS8</f>
        <v>599.78</v>
      </c>
      <c r="AV8" s="125">
        <f>AN8+AQ8+AS8</f>
        <v>784.57</v>
      </c>
      <c r="AW8" s="124">
        <f>AH8-(AK8+AO8)</f>
        <v>762.86</v>
      </c>
      <c r="AX8" s="124">
        <f>AF8-(AV8+AW8)</f>
        <v>2279.72</v>
      </c>
      <c r="AY8" s="126">
        <f>SUM(AW8:AX8)</f>
        <v>3042.58</v>
      </c>
      <c r="AZ8" s="127"/>
      <c r="BA8" s="124"/>
      <c r="BB8" s="126">
        <f t="shared" si="0"/>
        <v>0</v>
      </c>
      <c r="BC8" s="126">
        <f>AY8+BB8</f>
        <v>3042.58</v>
      </c>
      <c r="BD8" s="128">
        <f>AF8*22%</f>
        <v>841.97</v>
      </c>
      <c r="BE8" s="129"/>
    </row>
    <row r="9" spans="1:57" ht="74.25" customHeight="1">
      <c r="A9" s="114">
        <v>4</v>
      </c>
      <c r="B9" s="107" t="s">
        <v>37</v>
      </c>
      <c r="C9" s="101">
        <v>1</v>
      </c>
      <c r="D9" s="108" t="s">
        <v>92</v>
      </c>
      <c r="E9" s="115">
        <v>20</v>
      </c>
      <c r="F9" s="115">
        <v>159</v>
      </c>
      <c r="G9" s="116">
        <v>1723</v>
      </c>
      <c r="H9" s="117">
        <f>G9/20*E9</f>
        <v>1723</v>
      </c>
      <c r="I9" s="118">
        <f>55</f>
        <v>55</v>
      </c>
      <c r="J9" s="118">
        <f>H9+I9</f>
        <v>1778</v>
      </c>
      <c r="K9" s="119">
        <v>0.25</v>
      </c>
      <c r="L9" s="116">
        <f>J9*K9</f>
        <v>444.5</v>
      </c>
      <c r="M9" s="116">
        <f>J9+L9</f>
        <v>2222.5</v>
      </c>
      <c r="N9" s="116"/>
      <c r="O9" s="116"/>
      <c r="P9" s="116"/>
      <c r="Q9" s="120"/>
      <c r="R9" s="119">
        <v>1</v>
      </c>
      <c r="S9" s="116">
        <f>H9*R9</f>
        <v>1723</v>
      </c>
      <c r="T9" s="118"/>
      <c r="U9" s="118"/>
      <c r="V9" s="118">
        <v>59.45</v>
      </c>
      <c r="W9" s="111"/>
      <c r="X9" s="118"/>
      <c r="Y9" s="121"/>
      <c r="Z9" s="116"/>
      <c r="AA9" s="121"/>
      <c r="AB9" s="116"/>
      <c r="AC9" s="116"/>
      <c r="AD9" s="116"/>
      <c r="AE9" s="116"/>
      <c r="AF9" s="122">
        <f>AB9+Z9+X9+V9+S9+Q9+O9+M9+T9+AC9+AE9+U9+AD9</f>
        <v>4004.95</v>
      </c>
      <c r="AG9" s="123">
        <v>11</v>
      </c>
      <c r="AH9" s="160">
        <f>G9/E9*AG9</f>
        <v>947.65</v>
      </c>
      <c r="AI9" s="118">
        <f>AF9-AH9</f>
        <v>3057.3</v>
      </c>
      <c r="AJ9" s="116"/>
      <c r="AK9" s="116">
        <f>AH9*18%</f>
        <v>170.58</v>
      </c>
      <c r="AL9" s="116">
        <f>(AF9-AJ9)*18%-AK9</f>
        <v>550.31</v>
      </c>
      <c r="AM9" s="116"/>
      <c r="AN9" s="125">
        <f>SUM(AK9:AM9)</f>
        <v>720.89</v>
      </c>
      <c r="AO9" s="116">
        <f>AH9*1.5%</f>
        <v>14.21</v>
      </c>
      <c r="AP9" s="116">
        <f>AF9*1.5%-AO9</f>
        <v>45.86</v>
      </c>
      <c r="AQ9" s="125">
        <f>AO9+AP9</f>
        <v>60.07</v>
      </c>
      <c r="AR9" s="125"/>
      <c r="AS9" s="116">
        <f>AF9*1%</f>
        <v>40.05</v>
      </c>
      <c r="AT9" s="116">
        <f>AK9+AO9</f>
        <v>184.79</v>
      </c>
      <c r="AU9" s="116">
        <f>AL9+AM9+AP9+AS9</f>
        <v>636.22</v>
      </c>
      <c r="AV9" s="125">
        <f>AN9+AQ9+AS9</f>
        <v>821.01</v>
      </c>
      <c r="AW9" s="124">
        <f>AH9-(AK9+AO9)</f>
        <v>762.86</v>
      </c>
      <c r="AX9" s="124">
        <f>AF9-(AV9+AW9)</f>
        <v>2421.08</v>
      </c>
      <c r="AY9" s="126">
        <f>SUM(AW9:AX9)</f>
        <v>3183.94</v>
      </c>
      <c r="AZ9" s="127"/>
      <c r="BA9" s="124"/>
      <c r="BB9" s="126">
        <f t="shared" si="0"/>
        <v>0</v>
      </c>
      <c r="BC9" s="126">
        <f>AY9+BB9</f>
        <v>3183.94</v>
      </c>
      <c r="BD9" s="128">
        <f>AF9*22%</f>
        <v>881.09</v>
      </c>
      <c r="BE9" s="129"/>
    </row>
    <row r="10" spans="1:57" ht="74.25" customHeight="1">
      <c r="A10" s="130">
        <v>5</v>
      </c>
      <c r="B10" s="106" t="s">
        <v>85</v>
      </c>
      <c r="C10" s="102">
        <v>1</v>
      </c>
      <c r="D10" s="105" t="s">
        <v>93</v>
      </c>
      <c r="E10" s="115">
        <v>3</v>
      </c>
      <c r="F10" s="115">
        <v>24</v>
      </c>
      <c r="G10" s="116">
        <v>1723</v>
      </c>
      <c r="H10" s="117">
        <f>G10/20*E10</f>
        <v>258.45</v>
      </c>
      <c r="I10" s="118">
        <v>6.75</v>
      </c>
      <c r="J10" s="118">
        <f>H10+I10</f>
        <v>265.2</v>
      </c>
      <c r="K10" s="119">
        <v>0.1</v>
      </c>
      <c r="L10" s="116">
        <f>J10*K10</f>
        <v>26.52</v>
      </c>
      <c r="M10" s="116">
        <f>J10+L10</f>
        <v>291.72</v>
      </c>
      <c r="N10" s="116"/>
      <c r="O10" s="116"/>
      <c r="P10" s="116"/>
      <c r="Q10" s="120"/>
      <c r="R10" s="119"/>
      <c r="S10" s="116"/>
      <c r="T10" s="118"/>
      <c r="U10" s="118"/>
      <c r="V10" s="118"/>
      <c r="W10" s="111"/>
      <c r="X10" s="118"/>
      <c r="Y10" s="121"/>
      <c r="Z10" s="116"/>
      <c r="AA10" s="121"/>
      <c r="AB10" s="116"/>
      <c r="AC10" s="116">
        <v>542.45</v>
      </c>
      <c r="AD10" s="116"/>
      <c r="AE10" s="116"/>
      <c r="AF10" s="122">
        <f>AB10+Z10+X10+V10+S10+Q10+O10+M10+T10+AC10+AE10+U10+AD10</f>
        <v>834.17</v>
      </c>
      <c r="AG10" s="123"/>
      <c r="AH10" s="160">
        <f>AF10</f>
        <v>834.17</v>
      </c>
      <c r="AI10" s="118">
        <f>AF10-AH10</f>
        <v>0</v>
      </c>
      <c r="AJ10" s="116"/>
      <c r="AK10" s="116">
        <f>AH10*18%</f>
        <v>150.15</v>
      </c>
      <c r="AL10" s="116">
        <f>(AF10-AJ10)*18%-AK10</f>
        <v>0</v>
      </c>
      <c r="AM10" s="116"/>
      <c r="AN10" s="125">
        <f>SUM(AK10:AM10)</f>
        <v>150.15</v>
      </c>
      <c r="AO10" s="116">
        <f>AH10*1.5%</f>
        <v>12.51</v>
      </c>
      <c r="AP10" s="116">
        <f>AF10*1.5%-AO10</f>
        <v>0</v>
      </c>
      <c r="AQ10" s="125">
        <f>AO10+AP10</f>
        <v>12.51</v>
      </c>
      <c r="AR10" s="116">
        <f>AF10*1%</f>
        <v>8.34</v>
      </c>
      <c r="AS10" s="116"/>
      <c r="AT10" s="116">
        <f>AK10+AO10+AR10</f>
        <v>171</v>
      </c>
      <c r="AU10" s="116">
        <f>AL10+AM10+AP10+AS10</f>
        <v>0</v>
      </c>
      <c r="AV10" s="125">
        <f>AN10+AQ10+AR10</f>
        <v>171</v>
      </c>
      <c r="AW10" s="124">
        <f>AH10-(AK10+AO10+AR10)</f>
        <v>663.17</v>
      </c>
      <c r="AX10" s="124"/>
      <c r="AY10" s="126">
        <f>SUM(AW10:AX10)</f>
        <v>663.17</v>
      </c>
      <c r="AZ10" s="127"/>
      <c r="BA10" s="124"/>
      <c r="BB10" s="126">
        <f>SUM(AZ10:BA10)</f>
        <v>0</v>
      </c>
      <c r="BC10" s="126">
        <f>AY10+BB10</f>
        <v>663.17</v>
      </c>
      <c r="BD10" s="128">
        <f>AF10*22%</f>
        <v>183.52</v>
      </c>
      <c r="BE10" s="129"/>
    </row>
    <row r="11" spans="1:57" ht="74.25" customHeight="1">
      <c r="A11" s="130"/>
      <c r="B11" s="131" t="s">
        <v>39</v>
      </c>
      <c r="C11" s="132">
        <f>SUM(C6:C10)</f>
        <v>5</v>
      </c>
      <c r="D11" s="132"/>
      <c r="E11" s="115"/>
      <c r="F11" s="149">
        <f>SUM(F6:F10)</f>
        <v>596</v>
      </c>
      <c r="G11" s="133">
        <f>SUM(G6:G10)</f>
        <v>10753</v>
      </c>
      <c r="H11" s="133">
        <f aca="true" t="shared" si="1" ref="H11:BD11">SUM(H6:H10)</f>
        <v>8037.65</v>
      </c>
      <c r="I11" s="133">
        <f t="shared" si="1"/>
        <v>296.75</v>
      </c>
      <c r="J11" s="133">
        <f t="shared" si="1"/>
        <v>8334.4</v>
      </c>
      <c r="K11" s="133"/>
      <c r="L11" s="133">
        <f t="shared" si="1"/>
        <v>1756.52</v>
      </c>
      <c r="M11" s="133">
        <f t="shared" si="1"/>
        <v>10090.92</v>
      </c>
      <c r="N11" s="133"/>
      <c r="O11" s="133">
        <f t="shared" si="1"/>
        <v>0</v>
      </c>
      <c r="P11" s="133">
        <f t="shared" si="1"/>
        <v>0</v>
      </c>
      <c r="Q11" s="133">
        <f t="shared" si="1"/>
        <v>0</v>
      </c>
      <c r="R11" s="133"/>
      <c r="S11" s="133">
        <f>SUM(S6:S10)</f>
        <v>7779.2</v>
      </c>
      <c r="T11" s="133">
        <f>SUM(T6:T10)</f>
        <v>0</v>
      </c>
      <c r="U11" s="133">
        <f>SUM(U6:U10)</f>
        <v>0</v>
      </c>
      <c r="V11" s="133">
        <f>SUM(V6:V10)</f>
        <v>237.8</v>
      </c>
      <c r="W11" s="133">
        <f t="shared" si="1"/>
        <v>0</v>
      </c>
      <c r="X11" s="133">
        <f t="shared" si="1"/>
        <v>0</v>
      </c>
      <c r="Y11" s="133">
        <f t="shared" si="1"/>
        <v>0</v>
      </c>
      <c r="Z11" s="133">
        <f t="shared" si="1"/>
        <v>0</v>
      </c>
      <c r="AA11" s="133">
        <f t="shared" si="1"/>
        <v>12</v>
      </c>
      <c r="AB11" s="133">
        <f t="shared" si="1"/>
        <v>2496</v>
      </c>
      <c r="AC11" s="133">
        <f t="shared" si="1"/>
        <v>542.45</v>
      </c>
      <c r="AD11" s="133">
        <f t="shared" si="1"/>
        <v>0</v>
      </c>
      <c r="AE11" s="133">
        <f t="shared" si="1"/>
        <v>0</v>
      </c>
      <c r="AF11" s="133">
        <f t="shared" si="1"/>
        <v>21146.37</v>
      </c>
      <c r="AG11" s="133">
        <f t="shared" si="1"/>
        <v>33</v>
      </c>
      <c r="AH11" s="161">
        <f t="shared" si="1"/>
        <v>4449.32</v>
      </c>
      <c r="AI11" s="133">
        <f t="shared" si="1"/>
        <v>16697.05</v>
      </c>
      <c r="AJ11" s="133">
        <f t="shared" si="1"/>
        <v>0</v>
      </c>
      <c r="AK11" s="133">
        <f t="shared" si="1"/>
        <v>800.88</v>
      </c>
      <c r="AL11" s="133">
        <f t="shared" si="1"/>
        <v>3005.47</v>
      </c>
      <c r="AM11" s="133">
        <f t="shared" si="1"/>
        <v>0</v>
      </c>
      <c r="AN11" s="133">
        <f t="shared" si="1"/>
        <v>3806.35</v>
      </c>
      <c r="AO11" s="133">
        <f t="shared" si="1"/>
        <v>66.73</v>
      </c>
      <c r="AP11" s="133">
        <f t="shared" si="1"/>
        <v>250.46</v>
      </c>
      <c r="AQ11" s="133">
        <f t="shared" si="1"/>
        <v>317.19</v>
      </c>
      <c r="AR11" s="133">
        <f t="shared" si="1"/>
        <v>8.34</v>
      </c>
      <c r="AS11" s="133">
        <f t="shared" si="1"/>
        <v>203.12</v>
      </c>
      <c r="AT11" s="133">
        <f t="shared" si="1"/>
        <v>875.95</v>
      </c>
      <c r="AU11" s="133">
        <f t="shared" si="1"/>
        <v>3459.05</v>
      </c>
      <c r="AV11" s="133">
        <f t="shared" si="1"/>
        <v>4335</v>
      </c>
      <c r="AW11" s="133">
        <f t="shared" si="1"/>
        <v>3573.37</v>
      </c>
      <c r="AX11" s="133">
        <f t="shared" si="1"/>
        <v>13238</v>
      </c>
      <c r="AY11" s="133">
        <f t="shared" si="1"/>
        <v>16811.37</v>
      </c>
      <c r="AZ11" s="133">
        <f t="shared" si="1"/>
        <v>0</v>
      </c>
      <c r="BA11" s="133">
        <f t="shared" si="1"/>
        <v>0</v>
      </c>
      <c r="BB11" s="133">
        <f t="shared" si="1"/>
        <v>0</v>
      </c>
      <c r="BC11" s="133">
        <f t="shared" si="1"/>
        <v>16811.37</v>
      </c>
      <c r="BD11" s="133">
        <f t="shared" si="1"/>
        <v>4652.21</v>
      </c>
      <c r="BE11" s="129"/>
    </row>
    <row r="12" spans="1:57" s="143" customFormat="1" ht="74.25" customHeight="1">
      <c r="A12" s="136">
        <v>6</v>
      </c>
      <c r="B12" s="162" t="s">
        <v>61</v>
      </c>
      <c r="C12" s="162">
        <v>1</v>
      </c>
      <c r="D12" s="162" t="s">
        <v>44</v>
      </c>
      <c r="E12" s="115">
        <v>20</v>
      </c>
      <c r="F12" s="115">
        <v>159</v>
      </c>
      <c r="G12" s="138">
        <v>1723</v>
      </c>
      <c r="H12" s="117">
        <f>G12/20*E12</f>
        <v>1723</v>
      </c>
      <c r="I12" s="138"/>
      <c r="J12" s="118">
        <f aca="true" t="shared" si="2" ref="J12:J19">H12+I12</f>
        <v>1723</v>
      </c>
      <c r="K12" s="138"/>
      <c r="L12" s="138"/>
      <c r="M12" s="116">
        <f aca="true" t="shared" si="3" ref="M12:M20">J12+L12</f>
        <v>1723</v>
      </c>
      <c r="N12" s="139">
        <v>0.5</v>
      </c>
      <c r="O12" s="116">
        <f aca="true" t="shared" si="4" ref="O12:O17">M12*N12</f>
        <v>861.5</v>
      </c>
      <c r="P12" s="138"/>
      <c r="Q12" s="120"/>
      <c r="R12" s="119">
        <v>0.35</v>
      </c>
      <c r="S12" s="116">
        <f aca="true" t="shared" si="5" ref="S12:S20">H12*R12</f>
        <v>603.05</v>
      </c>
      <c r="T12" s="138"/>
      <c r="U12" s="138"/>
      <c r="V12" s="138">
        <v>59.45</v>
      </c>
      <c r="W12" s="140"/>
      <c r="X12" s="138"/>
      <c r="Y12" s="140"/>
      <c r="Z12" s="138"/>
      <c r="AA12" s="138"/>
      <c r="AB12" s="138"/>
      <c r="AC12" s="138"/>
      <c r="AD12" s="138"/>
      <c r="AE12" s="138"/>
      <c r="AF12" s="122">
        <f aca="true" t="shared" si="6" ref="AF12:AF20">AB12+Z12+X12+V12+S12+Q12+O12+M12+T12+AC12+AE12+U12+AD12</f>
        <v>3247</v>
      </c>
      <c r="AG12" s="123">
        <v>11</v>
      </c>
      <c r="AH12" s="160">
        <f aca="true" t="shared" si="7" ref="AH12:AH18">G12/E12*AG12</f>
        <v>947.65</v>
      </c>
      <c r="AI12" s="118">
        <f>AF12-AH12</f>
        <v>2299.35</v>
      </c>
      <c r="AJ12" s="138"/>
      <c r="AK12" s="116">
        <f aca="true" t="shared" si="8" ref="AK12:AK17">AH12*18%</f>
        <v>170.58</v>
      </c>
      <c r="AL12" s="116">
        <f aca="true" t="shared" si="9" ref="AL12:AL17">(AF12-AJ12)*18%-AK12</f>
        <v>413.88</v>
      </c>
      <c r="AM12" s="138"/>
      <c r="AN12" s="125">
        <f aca="true" t="shared" si="10" ref="AN12:AN18">SUM(AK12:AM12)</f>
        <v>584.46</v>
      </c>
      <c r="AO12" s="116">
        <f aca="true" t="shared" si="11" ref="AO12:AO20">AH12*1.5%</f>
        <v>14.21</v>
      </c>
      <c r="AP12" s="116">
        <f>AF12*1.5%-AO12</f>
        <v>34.5</v>
      </c>
      <c r="AQ12" s="125">
        <f>AO12+AP12</f>
        <v>48.71</v>
      </c>
      <c r="AR12" s="125"/>
      <c r="AS12" s="116">
        <f>AF12*1%</f>
        <v>32.47</v>
      </c>
      <c r="AT12" s="116">
        <f aca="true" t="shared" si="12" ref="AT12:AT18">AK12+AO12</f>
        <v>184.79</v>
      </c>
      <c r="AU12" s="116">
        <f>AL12+AM12+AP12+AS12</f>
        <v>480.85</v>
      </c>
      <c r="AV12" s="125">
        <f>AN12+AQ12+AS12</f>
        <v>665.64</v>
      </c>
      <c r="AW12" s="124">
        <f>AH12-(AK12+AO12)</f>
        <v>762.86</v>
      </c>
      <c r="AX12" s="124">
        <f>AF12-(AV12+AW12)</f>
        <v>1818.5</v>
      </c>
      <c r="AY12" s="126">
        <f aca="true" t="shared" si="13" ref="AY12:AY20">SUM(AW12:AX12)</f>
        <v>2581.36</v>
      </c>
      <c r="AZ12" s="141"/>
      <c r="BA12" s="138"/>
      <c r="BB12" s="126">
        <f t="shared" si="0"/>
        <v>0</v>
      </c>
      <c r="BC12" s="126">
        <f>AY12+BB12</f>
        <v>2581.36</v>
      </c>
      <c r="BD12" s="128">
        <f>AF12*22%</f>
        <v>714.34</v>
      </c>
      <c r="BE12" s="142"/>
    </row>
    <row r="13" spans="1:57" ht="74.25" customHeight="1">
      <c r="A13" s="114">
        <v>7</v>
      </c>
      <c r="B13" s="101" t="s">
        <v>41</v>
      </c>
      <c r="C13" s="101">
        <v>1</v>
      </c>
      <c r="D13" s="144" t="s">
        <v>94</v>
      </c>
      <c r="E13" s="115">
        <v>20</v>
      </c>
      <c r="F13" s="115">
        <v>159</v>
      </c>
      <c r="G13" s="138">
        <v>1723</v>
      </c>
      <c r="H13" s="117">
        <f aca="true" t="shared" si="14" ref="H13:H20">G13/20*E13</f>
        <v>1723</v>
      </c>
      <c r="I13" s="118"/>
      <c r="J13" s="118">
        <f t="shared" si="2"/>
        <v>1723</v>
      </c>
      <c r="K13" s="119">
        <v>0.4</v>
      </c>
      <c r="L13" s="116">
        <f>J13*K13</f>
        <v>689.2</v>
      </c>
      <c r="M13" s="116">
        <f t="shared" si="3"/>
        <v>2412.2</v>
      </c>
      <c r="N13" s="139">
        <v>0.45</v>
      </c>
      <c r="O13" s="116">
        <f t="shared" si="4"/>
        <v>1085.49</v>
      </c>
      <c r="P13" s="145"/>
      <c r="Q13" s="120"/>
      <c r="R13" s="119"/>
      <c r="S13" s="116">
        <f t="shared" si="5"/>
        <v>0</v>
      </c>
      <c r="T13" s="118"/>
      <c r="U13" s="118"/>
      <c r="V13" s="138">
        <v>59.45</v>
      </c>
      <c r="W13" s="111"/>
      <c r="X13" s="118"/>
      <c r="Y13" s="121"/>
      <c r="Z13" s="116"/>
      <c r="AA13" s="121"/>
      <c r="AB13" s="116"/>
      <c r="AC13" s="124"/>
      <c r="AD13" s="116"/>
      <c r="AE13" s="124"/>
      <c r="AF13" s="122">
        <f t="shared" si="6"/>
        <v>3557.14</v>
      </c>
      <c r="AG13" s="123"/>
      <c r="AH13" s="160">
        <f t="shared" si="7"/>
        <v>0</v>
      </c>
      <c r="AI13" s="118">
        <f aca="true" t="shared" si="15" ref="AI13:AI20">AF13-AH13</f>
        <v>3557.14</v>
      </c>
      <c r="AJ13" s="116"/>
      <c r="AK13" s="116">
        <f t="shared" si="8"/>
        <v>0</v>
      </c>
      <c r="AL13" s="116">
        <f t="shared" si="9"/>
        <v>640.29</v>
      </c>
      <c r="AM13" s="116"/>
      <c r="AN13" s="125">
        <f t="shared" si="10"/>
        <v>640.29</v>
      </c>
      <c r="AO13" s="116">
        <f t="shared" si="11"/>
        <v>0</v>
      </c>
      <c r="AP13" s="116">
        <f>AF13*1.5%-AO13</f>
        <v>53.36</v>
      </c>
      <c r="AQ13" s="125">
        <f aca="true" t="shared" si="16" ref="AQ13:AQ20">AO13+AP13</f>
        <v>53.36</v>
      </c>
      <c r="AR13" s="125"/>
      <c r="AS13" s="116">
        <f aca="true" t="shared" si="17" ref="AS13:AS20">AF13*1%</f>
        <v>35.57</v>
      </c>
      <c r="AT13" s="116">
        <f t="shared" si="12"/>
        <v>0</v>
      </c>
      <c r="AU13" s="116">
        <f aca="true" t="shared" si="18" ref="AU13:AU20">AL13+AM13+AP13+AS13</f>
        <v>729.22</v>
      </c>
      <c r="AV13" s="125">
        <f>AN13+AQ13+AS13</f>
        <v>729.22</v>
      </c>
      <c r="AW13" s="124">
        <f aca="true" t="shared" si="19" ref="AW13:AW20">AH13-(AK13+AO13)</f>
        <v>0</v>
      </c>
      <c r="AX13" s="124">
        <v>0</v>
      </c>
      <c r="AY13" s="126">
        <f t="shared" si="13"/>
        <v>0</v>
      </c>
      <c r="AZ13" s="127"/>
      <c r="BA13" s="124">
        <f>AF13-AV13</f>
        <v>2827.92</v>
      </c>
      <c r="BB13" s="126">
        <f t="shared" si="0"/>
        <v>2827.92</v>
      </c>
      <c r="BC13" s="126">
        <f aca="true" t="shared" si="20" ref="BC13:BC20">AY13+BB13</f>
        <v>2827.92</v>
      </c>
      <c r="BD13" s="128">
        <f aca="true" t="shared" si="21" ref="BD13:BD20">AF13*22%</f>
        <v>782.57</v>
      </c>
      <c r="BE13" s="129"/>
    </row>
    <row r="14" spans="1:57" s="143" customFormat="1" ht="74.25" customHeight="1">
      <c r="A14" s="136">
        <v>8</v>
      </c>
      <c r="B14" s="174" t="s">
        <v>74</v>
      </c>
      <c r="C14" s="209">
        <v>1</v>
      </c>
      <c r="D14" s="205" t="s">
        <v>50</v>
      </c>
      <c r="E14" s="136">
        <v>20</v>
      </c>
      <c r="F14" s="136">
        <v>159</v>
      </c>
      <c r="G14" s="138">
        <v>1723</v>
      </c>
      <c r="H14" s="138">
        <f t="shared" si="14"/>
        <v>1723</v>
      </c>
      <c r="I14" s="138"/>
      <c r="J14" s="138">
        <f t="shared" si="2"/>
        <v>1723</v>
      </c>
      <c r="K14" s="139"/>
      <c r="L14" s="138"/>
      <c r="M14" s="138">
        <f t="shared" si="3"/>
        <v>1723</v>
      </c>
      <c r="N14" s="139">
        <v>0.5</v>
      </c>
      <c r="O14" s="138">
        <f t="shared" si="4"/>
        <v>861.5</v>
      </c>
      <c r="P14" s="139"/>
      <c r="Q14" s="120"/>
      <c r="R14" s="139">
        <v>0.35</v>
      </c>
      <c r="S14" s="138">
        <f t="shared" si="5"/>
        <v>603.05</v>
      </c>
      <c r="T14" s="138"/>
      <c r="U14" s="138"/>
      <c r="V14" s="138">
        <v>50.75</v>
      </c>
      <c r="W14" s="140"/>
      <c r="X14" s="138"/>
      <c r="Y14" s="140"/>
      <c r="Z14" s="138"/>
      <c r="AA14" s="140"/>
      <c r="AB14" s="138"/>
      <c r="AC14" s="138"/>
      <c r="AD14" s="138"/>
      <c r="AE14" s="138"/>
      <c r="AF14" s="147">
        <f t="shared" si="6"/>
        <v>3238.3</v>
      </c>
      <c r="AG14" s="210">
        <v>11</v>
      </c>
      <c r="AH14" s="138">
        <f t="shared" si="7"/>
        <v>947.65</v>
      </c>
      <c r="AI14" s="138">
        <f t="shared" si="15"/>
        <v>2290.65</v>
      </c>
      <c r="AJ14" s="138"/>
      <c r="AK14" s="138">
        <f t="shared" si="8"/>
        <v>170.58</v>
      </c>
      <c r="AL14" s="138">
        <f t="shared" si="9"/>
        <v>412.31</v>
      </c>
      <c r="AM14" s="138"/>
      <c r="AN14" s="147">
        <f t="shared" si="10"/>
        <v>582.89</v>
      </c>
      <c r="AO14" s="138">
        <f t="shared" si="11"/>
        <v>14.21</v>
      </c>
      <c r="AP14" s="138">
        <f aca="true" t="shared" si="22" ref="AP14:AP20">AF14*1.5%-AO14</f>
        <v>34.36</v>
      </c>
      <c r="AQ14" s="147">
        <f t="shared" si="16"/>
        <v>48.57</v>
      </c>
      <c r="AR14" s="147"/>
      <c r="AS14" s="138">
        <f t="shared" si="17"/>
        <v>32.38</v>
      </c>
      <c r="AT14" s="138">
        <f t="shared" si="12"/>
        <v>184.79</v>
      </c>
      <c r="AU14" s="138">
        <f t="shared" si="18"/>
        <v>479.05</v>
      </c>
      <c r="AV14" s="147">
        <f>AN14+AQ14+AS14</f>
        <v>663.84</v>
      </c>
      <c r="AW14" s="138">
        <f t="shared" si="19"/>
        <v>762.86</v>
      </c>
      <c r="AX14" s="138">
        <f aca="true" t="shared" si="23" ref="AX14:AX20">AF14-(AV14+AW14)</f>
        <v>1811.6</v>
      </c>
      <c r="AY14" s="147">
        <f t="shared" si="13"/>
        <v>2574.46</v>
      </c>
      <c r="AZ14" s="138"/>
      <c r="BA14" s="138"/>
      <c r="BB14" s="147">
        <f t="shared" si="0"/>
        <v>0</v>
      </c>
      <c r="BC14" s="147">
        <f t="shared" si="20"/>
        <v>2574.46</v>
      </c>
      <c r="BD14" s="147">
        <f t="shared" si="21"/>
        <v>712.43</v>
      </c>
      <c r="BE14" s="142"/>
    </row>
    <row r="15" spans="1:57" s="143" customFormat="1" ht="74.25" customHeight="1">
      <c r="A15" s="136">
        <v>9</v>
      </c>
      <c r="B15" s="174" t="s">
        <v>43</v>
      </c>
      <c r="C15" s="174">
        <v>1</v>
      </c>
      <c r="D15" s="174" t="s">
        <v>44</v>
      </c>
      <c r="E15" s="136">
        <v>20</v>
      </c>
      <c r="F15" s="136">
        <v>159</v>
      </c>
      <c r="G15" s="138">
        <v>1723</v>
      </c>
      <c r="H15" s="138">
        <f t="shared" si="14"/>
        <v>1723</v>
      </c>
      <c r="I15" s="138"/>
      <c r="J15" s="138">
        <f t="shared" si="2"/>
        <v>1723</v>
      </c>
      <c r="K15" s="139">
        <v>0.25</v>
      </c>
      <c r="L15" s="138">
        <f>J15*K15</f>
        <v>430.75</v>
      </c>
      <c r="M15" s="138">
        <f t="shared" si="3"/>
        <v>2153.75</v>
      </c>
      <c r="N15" s="139">
        <v>0.5</v>
      </c>
      <c r="O15" s="138">
        <f t="shared" si="4"/>
        <v>1076.88</v>
      </c>
      <c r="P15" s="138"/>
      <c r="Q15" s="120"/>
      <c r="R15" s="139">
        <v>0.1</v>
      </c>
      <c r="S15" s="138">
        <f t="shared" si="5"/>
        <v>172.3</v>
      </c>
      <c r="T15" s="138"/>
      <c r="U15" s="138"/>
      <c r="V15" s="138">
        <v>59.45</v>
      </c>
      <c r="W15" s="140"/>
      <c r="X15" s="138"/>
      <c r="Y15" s="140"/>
      <c r="Z15" s="138"/>
      <c r="AA15" s="140"/>
      <c r="AB15" s="138"/>
      <c r="AC15" s="138"/>
      <c r="AD15" s="138"/>
      <c r="AE15" s="138"/>
      <c r="AF15" s="147">
        <f t="shared" si="6"/>
        <v>3462.38</v>
      </c>
      <c r="AG15" s="210">
        <v>11</v>
      </c>
      <c r="AH15" s="138">
        <f t="shared" si="7"/>
        <v>947.65</v>
      </c>
      <c r="AI15" s="138">
        <f t="shared" si="15"/>
        <v>2514.73</v>
      </c>
      <c r="AJ15" s="138"/>
      <c r="AK15" s="138">
        <f t="shared" si="8"/>
        <v>170.58</v>
      </c>
      <c r="AL15" s="138">
        <f t="shared" si="9"/>
        <v>452.65</v>
      </c>
      <c r="AM15" s="138"/>
      <c r="AN15" s="147">
        <f t="shared" si="10"/>
        <v>623.23</v>
      </c>
      <c r="AO15" s="138">
        <f t="shared" si="11"/>
        <v>14.21</v>
      </c>
      <c r="AP15" s="138">
        <f t="shared" si="22"/>
        <v>37.73</v>
      </c>
      <c r="AQ15" s="147">
        <f t="shared" si="16"/>
        <v>51.94</v>
      </c>
      <c r="AR15" s="147"/>
      <c r="AS15" s="138">
        <f>AF15*1%</f>
        <v>34.62</v>
      </c>
      <c r="AT15" s="138">
        <f t="shared" si="12"/>
        <v>184.79</v>
      </c>
      <c r="AU15" s="138">
        <f>AL15+AM15+AP15+AS15+AR15</f>
        <v>525</v>
      </c>
      <c r="AV15" s="147">
        <f>AN15+AQ15+AS15+AR15</f>
        <v>709.79</v>
      </c>
      <c r="AW15" s="138">
        <f t="shared" si="19"/>
        <v>762.86</v>
      </c>
      <c r="AX15" s="138">
        <f t="shared" si="23"/>
        <v>1989.73</v>
      </c>
      <c r="AY15" s="147">
        <f t="shared" si="13"/>
        <v>2752.59</v>
      </c>
      <c r="AZ15" s="138"/>
      <c r="BA15" s="138"/>
      <c r="BB15" s="147">
        <f t="shared" si="0"/>
        <v>0</v>
      </c>
      <c r="BC15" s="147">
        <f t="shared" si="20"/>
        <v>2752.59</v>
      </c>
      <c r="BD15" s="147">
        <f t="shared" si="21"/>
        <v>761.72</v>
      </c>
      <c r="BE15" s="142"/>
    </row>
    <row r="16" spans="1:57" s="143" customFormat="1" ht="74.25" customHeight="1">
      <c r="A16" s="136">
        <v>10</v>
      </c>
      <c r="B16" s="174" t="s">
        <v>87</v>
      </c>
      <c r="C16" s="174">
        <v>1</v>
      </c>
      <c r="D16" s="174" t="s">
        <v>88</v>
      </c>
      <c r="E16" s="136">
        <v>20</v>
      </c>
      <c r="F16" s="136">
        <v>159</v>
      </c>
      <c r="G16" s="138">
        <v>1723</v>
      </c>
      <c r="H16" s="138">
        <f t="shared" si="14"/>
        <v>1723</v>
      </c>
      <c r="I16" s="138"/>
      <c r="J16" s="138">
        <f t="shared" si="2"/>
        <v>1723</v>
      </c>
      <c r="K16" s="139"/>
      <c r="L16" s="138"/>
      <c r="M16" s="138">
        <f t="shared" si="3"/>
        <v>1723</v>
      </c>
      <c r="N16" s="139">
        <v>0.5</v>
      </c>
      <c r="O16" s="138">
        <f t="shared" si="4"/>
        <v>861.5</v>
      </c>
      <c r="P16" s="138"/>
      <c r="Q16" s="120"/>
      <c r="R16" s="139">
        <v>0.35</v>
      </c>
      <c r="S16" s="138">
        <f t="shared" si="5"/>
        <v>603.05</v>
      </c>
      <c r="T16" s="138"/>
      <c r="U16" s="138"/>
      <c r="V16" s="138"/>
      <c r="W16" s="140"/>
      <c r="X16" s="138"/>
      <c r="Y16" s="140"/>
      <c r="Z16" s="138"/>
      <c r="AA16" s="140"/>
      <c r="AB16" s="138"/>
      <c r="AC16" s="138"/>
      <c r="AD16" s="138"/>
      <c r="AE16" s="138"/>
      <c r="AF16" s="147">
        <f t="shared" si="6"/>
        <v>3187.55</v>
      </c>
      <c r="AG16" s="210">
        <v>11</v>
      </c>
      <c r="AH16" s="138">
        <f t="shared" si="7"/>
        <v>947.65</v>
      </c>
      <c r="AI16" s="138">
        <f t="shared" si="15"/>
        <v>2239.9</v>
      </c>
      <c r="AJ16" s="138"/>
      <c r="AK16" s="138">
        <f t="shared" si="8"/>
        <v>170.58</v>
      </c>
      <c r="AL16" s="138">
        <f t="shared" si="9"/>
        <v>403.18</v>
      </c>
      <c r="AM16" s="138"/>
      <c r="AN16" s="147">
        <f t="shared" si="10"/>
        <v>573.76</v>
      </c>
      <c r="AO16" s="138">
        <f t="shared" si="11"/>
        <v>14.21</v>
      </c>
      <c r="AP16" s="138">
        <f t="shared" si="22"/>
        <v>33.6</v>
      </c>
      <c r="AQ16" s="147">
        <f t="shared" si="16"/>
        <v>47.81</v>
      </c>
      <c r="AR16" s="147"/>
      <c r="AS16" s="138">
        <f t="shared" si="17"/>
        <v>31.88</v>
      </c>
      <c r="AT16" s="138">
        <f t="shared" si="12"/>
        <v>184.79</v>
      </c>
      <c r="AU16" s="138">
        <f t="shared" si="18"/>
        <v>468.66</v>
      </c>
      <c r="AV16" s="147">
        <f>AN16+AQ16+AS16</f>
        <v>653.45</v>
      </c>
      <c r="AW16" s="138">
        <f t="shared" si="19"/>
        <v>762.86</v>
      </c>
      <c r="AX16" s="138">
        <f t="shared" si="23"/>
        <v>1771.24</v>
      </c>
      <c r="AY16" s="147">
        <f t="shared" si="13"/>
        <v>2534.1</v>
      </c>
      <c r="AZ16" s="138"/>
      <c r="BA16" s="138"/>
      <c r="BB16" s="147">
        <f t="shared" si="0"/>
        <v>0</v>
      </c>
      <c r="BC16" s="147">
        <f t="shared" si="20"/>
        <v>2534.1</v>
      </c>
      <c r="BD16" s="147">
        <f t="shared" si="21"/>
        <v>701.26</v>
      </c>
      <c r="BE16" s="142"/>
    </row>
    <row r="17" spans="1:57" ht="74.25" customHeight="1">
      <c r="A17" s="136">
        <v>11</v>
      </c>
      <c r="B17" s="101" t="s">
        <v>45</v>
      </c>
      <c r="C17" s="101">
        <v>1</v>
      </c>
      <c r="D17" s="101" t="s">
        <v>101</v>
      </c>
      <c r="E17" s="115"/>
      <c r="F17" s="115"/>
      <c r="G17" s="138"/>
      <c r="H17" s="117">
        <f>G17/21*E17</f>
        <v>0</v>
      </c>
      <c r="I17" s="118"/>
      <c r="J17" s="118">
        <f t="shared" si="2"/>
        <v>0</v>
      </c>
      <c r="K17" s="119"/>
      <c r="L17" s="116">
        <f>J17*K17</f>
        <v>0</v>
      </c>
      <c r="M17" s="116">
        <f t="shared" si="3"/>
        <v>0</v>
      </c>
      <c r="N17" s="139"/>
      <c r="O17" s="116">
        <f t="shared" si="4"/>
        <v>0</v>
      </c>
      <c r="P17" s="116"/>
      <c r="Q17" s="120"/>
      <c r="R17" s="119"/>
      <c r="S17" s="138"/>
      <c r="T17" s="138"/>
      <c r="U17" s="118"/>
      <c r="V17" s="118"/>
      <c r="W17" s="111">
        <v>5</v>
      </c>
      <c r="X17" s="118">
        <v>514.04</v>
      </c>
      <c r="Y17" s="121"/>
      <c r="Z17" s="116"/>
      <c r="AA17" s="121"/>
      <c r="AB17" s="116"/>
      <c r="AC17" s="116"/>
      <c r="AD17" s="116"/>
      <c r="AE17" s="124"/>
      <c r="AF17" s="122">
        <f t="shared" si="6"/>
        <v>514.04</v>
      </c>
      <c r="AG17" s="123"/>
      <c r="AH17" s="124">
        <v>0</v>
      </c>
      <c r="AI17" s="118">
        <f t="shared" si="15"/>
        <v>514.04</v>
      </c>
      <c r="AJ17" s="116"/>
      <c r="AK17" s="116">
        <f t="shared" si="8"/>
        <v>0</v>
      </c>
      <c r="AL17" s="116">
        <f t="shared" si="9"/>
        <v>92.53</v>
      </c>
      <c r="AM17" s="116"/>
      <c r="AN17" s="125">
        <f>AK17+AL17</f>
        <v>92.53</v>
      </c>
      <c r="AO17" s="116">
        <f t="shared" si="11"/>
        <v>0</v>
      </c>
      <c r="AP17" s="116">
        <f t="shared" si="22"/>
        <v>7.71</v>
      </c>
      <c r="AQ17" s="125">
        <f t="shared" si="16"/>
        <v>7.71</v>
      </c>
      <c r="AR17" s="125"/>
      <c r="AS17" s="116">
        <f t="shared" si="17"/>
        <v>5.14</v>
      </c>
      <c r="AT17" s="116">
        <f t="shared" si="12"/>
        <v>0</v>
      </c>
      <c r="AU17" s="116">
        <f t="shared" si="18"/>
        <v>105.38</v>
      </c>
      <c r="AV17" s="125">
        <f>AN17+AQ17+AS17</f>
        <v>105.38</v>
      </c>
      <c r="AW17" s="124">
        <f t="shared" si="19"/>
        <v>0</v>
      </c>
      <c r="AX17" s="124"/>
      <c r="AY17" s="126">
        <f t="shared" si="13"/>
        <v>0</v>
      </c>
      <c r="AZ17" s="127"/>
      <c r="BA17" s="124">
        <f>AF17-AV17</f>
        <v>408.66</v>
      </c>
      <c r="BB17" s="126">
        <f t="shared" si="0"/>
        <v>408.66</v>
      </c>
      <c r="BC17" s="126">
        <f t="shared" si="20"/>
        <v>408.66</v>
      </c>
      <c r="BD17" s="128">
        <f t="shared" si="21"/>
        <v>113.09</v>
      </c>
      <c r="BE17" s="129"/>
    </row>
    <row r="18" spans="1:57" s="143" customFormat="1" ht="74.25" customHeight="1">
      <c r="A18" s="136">
        <v>12</v>
      </c>
      <c r="B18" s="174" t="s">
        <v>97</v>
      </c>
      <c r="C18" s="174">
        <v>0.5</v>
      </c>
      <c r="D18" s="174" t="s">
        <v>102</v>
      </c>
      <c r="E18" s="136">
        <v>20</v>
      </c>
      <c r="F18" s="136">
        <v>79</v>
      </c>
      <c r="G18" s="138">
        <v>725</v>
      </c>
      <c r="H18" s="138">
        <f t="shared" si="14"/>
        <v>725</v>
      </c>
      <c r="I18" s="138"/>
      <c r="J18" s="138">
        <f>H18+I18</f>
        <v>725</v>
      </c>
      <c r="K18" s="139"/>
      <c r="L18" s="138"/>
      <c r="M18" s="138">
        <f>J18+L18</f>
        <v>725</v>
      </c>
      <c r="N18" s="139"/>
      <c r="O18" s="138"/>
      <c r="P18" s="139">
        <v>0.1</v>
      </c>
      <c r="Q18" s="120">
        <f>J18*P18</f>
        <v>72.5</v>
      </c>
      <c r="R18" s="139"/>
      <c r="S18" s="138">
        <f t="shared" si="5"/>
        <v>0</v>
      </c>
      <c r="T18" s="138"/>
      <c r="U18" s="138"/>
      <c r="V18" s="138"/>
      <c r="W18" s="140"/>
      <c r="X18" s="138"/>
      <c r="Y18" s="140"/>
      <c r="Z18" s="138"/>
      <c r="AA18" s="140"/>
      <c r="AB18" s="138"/>
      <c r="AC18" s="138"/>
      <c r="AD18" s="138"/>
      <c r="AE18" s="138"/>
      <c r="AF18" s="147">
        <f>AB18+Z18+X18+V18+S18+Q18+O18+M18+T18+AC18+AE18+U18+AD18</f>
        <v>797.5</v>
      </c>
      <c r="AG18" s="210">
        <v>11</v>
      </c>
      <c r="AH18" s="138">
        <f t="shared" si="7"/>
        <v>398.75</v>
      </c>
      <c r="AI18" s="138">
        <f t="shared" si="15"/>
        <v>398.75</v>
      </c>
      <c r="AJ18" s="138">
        <v>1033.5</v>
      </c>
      <c r="AK18" s="138">
        <f>AH18*18%/2</f>
        <v>35.89</v>
      </c>
      <c r="AL18" s="138"/>
      <c r="AM18" s="138"/>
      <c r="AN18" s="147">
        <f t="shared" si="10"/>
        <v>35.89</v>
      </c>
      <c r="AO18" s="138">
        <f t="shared" si="11"/>
        <v>5.98</v>
      </c>
      <c r="AP18" s="138">
        <f t="shared" si="22"/>
        <v>5.98</v>
      </c>
      <c r="AQ18" s="147">
        <f t="shared" si="16"/>
        <v>11.96</v>
      </c>
      <c r="AR18" s="147"/>
      <c r="AS18" s="138">
        <f t="shared" si="17"/>
        <v>7.98</v>
      </c>
      <c r="AT18" s="138">
        <f t="shared" si="12"/>
        <v>41.87</v>
      </c>
      <c r="AU18" s="138">
        <f t="shared" si="18"/>
        <v>13.96</v>
      </c>
      <c r="AV18" s="147">
        <f>AN18+AQ18+AS18</f>
        <v>55.83</v>
      </c>
      <c r="AW18" s="138">
        <f t="shared" si="19"/>
        <v>356.88</v>
      </c>
      <c r="AX18" s="138">
        <f t="shared" si="23"/>
        <v>384.79</v>
      </c>
      <c r="AY18" s="147">
        <f t="shared" si="13"/>
        <v>741.67</v>
      </c>
      <c r="AZ18" s="138"/>
      <c r="BA18" s="138"/>
      <c r="BB18" s="147">
        <f>SUM(AZ18:BA18)</f>
        <v>0</v>
      </c>
      <c r="BC18" s="147">
        <f t="shared" si="20"/>
        <v>741.67</v>
      </c>
      <c r="BD18" s="147">
        <f t="shared" si="21"/>
        <v>175.45</v>
      </c>
      <c r="BE18" s="142"/>
    </row>
    <row r="19" spans="1:57" ht="74.25" customHeight="1">
      <c r="A19" s="114">
        <v>13</v>
      </c>
      <c r="B19" s="101" t="s">
        <v>108</v>
      </c>
      <c r="C19" s="101">
        <v>1</v>
      </c>
      <c r="D19" s="101" t="s">
        <v>95</v>
      </c>
      <c r="E19" s="115">
        <v>15</v>
      </c>
      <c r="F19" s="115">
        <v>119</v>
      </c>
      <c r="G19" s="116">
        <v>1450</v>
      </c>
      <c r="H19" s="117">
        <f>G19/20*E19</f>
        <v>1087.5</v>
      </c>
      <c r="I19" s="118"/>
      <c r="J19" s="118">
        <f t="shared" si="2"/>
        <v>1087.5</v>
      </c>
      <c r="K19" s="119"/>
      <c r="L19" s="116"/>
      <c r="M19" s="116">
        <f t="shared" si="3"/>
        <v>1087.5</v>
      </c>
      <c r="N19" s="116"/>
      <c r="O19" s="116"/>
      <c r="P19" s="145">
        <v>0.1</v>
      </c>
      <c r="Q19" s="120">
        <f>J19*P19</f>
        <v>108.75</v>
      </c>
      <c r="R19" s="119">
        <v>0.3</v>
      </c>
      <c r="S19" s="116">
        <f t="shared" si="5"/>
        <v>326.25</v>
      </c>
      <c r="T19" s="118"/>
      <c r="U19" s="118"/>
      <c r="V19" s="118"/>
      <c r="W19" s="111"/>
      <c r="X19" s="118"/>
      <c r="Y19" s="121"/>
      <c r="Z19" s="116"/>
      <c r="AA19" s="121"/>
      <c r="AB19" s="116"/>
      <c r="AC19" s="116"/>
      <c r="AD19" s="116"/>
      <c r="AE19" s="116"/>
      <c r="AF19" s="122">
        <f t="shared" si="6"/>
        <v>1522.5</v>
      </c>
      <c r="AG19" s="123"/>
      <c r="AH19" s="160"/>
      <c r="AI19" s="118">
        <f t="shared" si="15"/>
        <v>1522.5</v>
      </c>
      <c r="AJ19" s="117">
        <f>1378*0.5</f>
        <v>689</v>
      </c>
      <c r="AK19" s="116">
        <f>AH19*18%/2</f>
        <v>0</v>
      </c>
      <c r="AL19" s="116">
        <f>(AF19-AJ19)*18%-AK19</f>
        <v>150.03</v>
      </c>
      <c r="AM19" s="116"/>
      <c r="AN19" s="125">
        <f>AK19+AL19</f>
        <v>150.03</v>
      </c>
      <c r="AO19" s="116">
        <f t="shared" si="11"/>
        <v>0</v>
      </c>
      <c r="AP19" s="116">
        <f t="shared" si="22"/>
        <v>22.84</v>
      </c>
      <c r="AQ19" s="125">
        <f t="shared" si="16"/>
        <v>22.84</v>
      </c>
      <c r="AR19" s="125"/>
      <c r="AS19" s="116">
        <f>AF19*1%</f>
        <v>15.23</v>
      </c>
      <c r="AT19" s="116">
        <f>AK19+AO19</f>
        <v>0</v>
      </c>
      <c r="AU19" s="116">
        <f>AL19+AM19+AP19+AS19</f>
        <v>188.1</v>
      </c>
      <c r="AV19" s="125">
        <f>AN19+AQ19+AS19</f>
        <v>188.1</v>
      </c>
      <c r="AW19" s="124">
        <f>AH19-(AK19+AO19)</f>
        <v>0</v>
      </c>
      <c r="AX19" s="124">
        <f>AF19-(AV19+AW19)</f>
        <v>1334.4</v>
      </c>
      <c r="AY19" s="126">
        <f t="shared" si="13"/>
        <v>1334.4</v>
      </c>
      <c r="AZ19" s="127"/>
      <c r="BA19" s="124"/>
      <c r="BB19" s="126">
        <f t="shared" si="0"/>
        <v>0</v>
      </c>
      <c r="BC19" s="126">
        <f t="shared" si="20"/>
        <v>1334.4</v>
      </c>
      <c r="BD19" s="128">
        <f t="shared" si="21"/>
        <v>334.95</v>
      </c>
      <c r="BE19" s="129"/>
    </row>
    <row r="20" spans="1:57" s="143" customFormat="1" ht="74.25" customHeight="1">
      <c r="A20" s="136">
        <v>14</v>
      </c>
      <c r="B20" s="174" t="s">
        <v>59</v>
      </c>
      <c r="C20" s="174">
        <v>1</v>
      </c>
      <c r="D20" s="174" t="s">
        <v>95</v>
      </c>
      <c r="E20" s="136">
        <v>20</v>
      </c>
      <c r="F20" s="136">
        <v>159</v>
      </c>
      <c r="G20" s="138">
        <v>1450</v>
      </c>
      <c r="H20" s="138">
        <f t="shared" si="14"/>
        <v>1450</v>
      </c>
      <c r="I20" s="138"/>
      <c r="J20" s="138">
        <f>H20</f>
        <v>1450</v>
      </c>
      <c r="K20" s="139"/>
      <c r="L20" s="138"/>
      <c r="M20" s="138">
        <f t="shared" si="3"/>
        <v>1450</v>
      </c>
      <c r="N20" s="138"/>
      <c r="O20" s="138"/>
      <c r="P20" s="139">
        <v>0.1</v>
      </c>
      <c r="Q20" s="120">
        <f>J20*P20</f>
        <v>145</v>
      </c>
      <c r="R20" s="139">
        <v>0.5</v>
      </c>
      <c r="S20" s="138">
        <f t="shared" si="5"/>
        <v>725</v>
      </c>
      <c r="T20" s="138"/>
      <c r="U20" s="138">
        <v>1450</v>
      </c>
      <c r="V20" s="138"/>
      <c r="W20" s="140"/>
      <c r="X20" s="138"/>
      <c r="Y20" s="140"/>
      <c r="Z20" s="138"/>
      <c r="AA20" s="140"/>
      <c r="AB20" s="138"/>
      <c r="AC20" s="138"/>
      <c r="AD20" s="138"/>
      <c r="AE20" s="138"/>
      <c r="AF20" s="147">
        <f t="shared" si="6"/>
        <v>3770</v>
      </c>
      <c r="AG20" s="210">
        <v>11</v>
      </c>
      <c r="AH20" s="138">
        <f>G20/E20*AG20</f>
        <v>797.5</v>
      </c>
      <c r="AI20" s="138">
        <f t="shared" si="15"/>
        <v>2972.5</v>
      </c>
      <c r="AJ20" s="138"/>
      <c r="AK20" s="138">
        <f>AH20*18%/2</f>
        <v>71.78</v>
      </c>
      <c r="AL20" s="138">
        <f>(AF20-AJ20)*18%-AK20</f>
        <v>606.82</v>
      </c>
      <c r="AM20" s="138"/>
      <c r="AN20" s="147">
        <f>AK20+AL20</f>
        <v>678.6</v>
      </c>
      <c r="AO20" s="138">
        <f t="shared" si="11"/>
        <v>11.96</v>
      </c>
      <c r="AP20" s="138">
        <f t="shared" si="22"/>
        <v>44.59</v>
      </c>
      <c r="AQ20" s="147">
        <f t="shared" si="16"/>
        <v>56.55</v>
      </c>
      <c r="AR20" s="147"/>
      <c r="AS20" s="138">
        <f t="shared" si="17"/>
        <v>37.7</v>
      </c>
      <c r="AT20" s="138">
        <f>AK20+AO20</f>
        <v>83.74</v>
      </c>
      <c r="AU20" s="138">
        <f t="shared" si="18"/>
        <v>689.11</v>
      </c>
      <c r="AV20" s="147">
        <f>AN20+AQ20+AS20</f>
        <v>772.85</v>
      </c>
      <c r="AW20" s="138">
        <f t="shared" si="19"/>
        <v>713.76</v>
      </c>
      <c r="AX20" s="138">
        <f t="shared" si="23"/>
        <v>2283.39</v>
      </c>
      <c r="AY20" s="147">
        <f t="shared" si="13"/>
        <v>2997.15</v>
      </c>
      <c r="AZ20" s="138"/>
      <c r="BA20" s="138"/>
      <c r="BB20" s="147">
        <f t="shared" si="0"/>
        <v>0</v>
      </c>
      <c r="BC20" s="147">
        <f t="shared" si="20"/>
        <v>2997.15</v>
      </c>
      <c r="BD20" s="147">
        <f t="shared" si="21"/>
        <v>829.4</v>
      </c>
      <c r="BE20" s="142"/>
    </row>
    <row r="21" spans="1:57" ht="74.25" customHeight="1">
      <c r="A21" s="114"/>
      <c r="B21" s="148" t="s">
        <v>12</v>
      </c>
      <c r="C21" s="148">
        <f>SUM(C13:C20)</f>
        <v>7.5</v>
      </c>
      <c r="D21" s="148"/>
      <c r="E21" s="115"/>
      <c r="F21" s="149">
        <f>SUM(F12:F20)</f>
        <v>1152</v>
      </c>
      <c r="G21" s="157">
        <f>SUM(G12:G20)</f>
        <v>12240</v>
      </c>
      <c r="H21" s="157">
        <f>SUM(H12:H20)</f>
        <v>11877.5</v>
      </c>
      <c r="I21" s="157">
        <f>SUM(I12:I20)</f>
        <v>0</v>
      </c>
      <c r="J21" s="157">
        <f>SUM(J12:J20)</f>
        <v>11877.5</v>
      </c>
      <c r="K21" s="157"/>
      <c r="L21" s="157">
        <f>SUM(L12:L20)</f>
        <v>1119.95</v>
      </c>
      <c r="M21" s="157">
        <f>SUM(M12:M20)</f>
        <v>12997.45</v>
      </c>
      <c r="N21" s="157"/>
      <c r="O21" s="157">
        <f>SUM(O12:O20)</f>
        <v>4746.87</v>
      </c>
      <c r="P21" s="157"/>
      <c r="Q21" s="157">
        <f>SUM(Q12:Q20)</f>
        <v>326.25</v>
      </c>
      <c r="R21" s="157"/>
      <c r="S21" s="157">
        <f aca="true" t="shared" si="24" ref="S21:Z21">SUM(S12:S20)</f>
        <v>3032.7</v>
      </c>
      <c r="T21" s="157">
        <f t="shared" si="24"/>
        <v>0</v>
      </c>
      <c r="U21" s="157">
        <f t="shared" si="24"/>
        <v>1450</v>
      </c>
      <c r="V21" s="157">
        <f t="shared" si="24"/>
        <v>229.1</v>
      </c>
      <c r="W21" s="157">
        <f t="shared" si="24"/>
        <v>5</v>
      </c>
      <c r="X21" s="157">
        <f t="shared" si="24"/>
        <v>514.04</v>
      </c>
      <c r="Y21" s="157">
        <f t="shared" si="24"/>
        <v>0</v>
      </c>
      <c r="Z21" s="157">
        <f t="shared" si="24"/>
        <v>0</v>
      </c>
      <c r="AA21" s="159"/>
      <c r="AB21" s="157">
        <f>SUM(AB12:AB20)</f>
        <v>0</v>
      </c>
      <c r="AC21" s="157">
        <f>SUM(AC12:AC20)</f>
        <v>0</v>
      </c>
      <c r="AD21" s="157">
        <f>SUM(AD12:AD20)</f>
        <v>0</v>
      </c>
      <c r="AE21" s="157">
        <f>SUM(AE12:AE20)</f>
        <v>0</v>
      </c>
      <c r="AF21" s="157">
        <f>SUM(AF12:AF20)</f>
        <v>23296.41</v>
      </c>
      <c r="AG21" s="157"/>
      <c r="AH21" s="157">
        <f aca="true" t="shared" si="25" ref="AH21:BD21">SUM(AH12:AH20)</f>
        <v>4986.85</v>
      </c>
      <c r="AI21" s="157">
        <f t="shared" si="25"/>
        <v>18309.56</v>
      </c>
      <c r="AJ21" s="157">
        <f t="shared" si="25"/>
        <v>1722.5</v>
      </c>
      <c r="AK21" s="157">
        <f t="shared" si="25"/>
        <v>789.99</v>
      </c>
      <c r="AL21" s="157">
        <f t="shared" si="25"/>
        <v>3171.69</v>
      </c>
      <c r="AM21" s="157">
        <f t="shared" si="25"/>
        <v>0</v>
      </c>
      <c r="AN21" s="157">
        <f t="shared" si="25"/>
        <v>3961.68</v>
      </c>
      <c r="AO21" s="157">
        <f t="shared" si="25"/>
        <v>74.78</v>
      </c>
      <c r="AP21" s="157">
        <f t="shared" si="25"/>
        <v>274.67</v>
      </c>
      <c r="AQ21" s="157">
        <f t="shared" si="25"/>
        <v>349.45</v>
      </c>
      <c r="AR21" s="157">
        <f t="shared" si="25"/>
        <v>0</v>
      </c>
      <c r="AS21" s="157">
        <f t="shared" si="25"/>
        <v>232.97</v>
      </c>
      <c r="AT21" s="157">
        <f t="shared" si="25"/>
        <v>864.77</v>
      </c>
      <c r="AU21" s="157">
        <f t="shared" si="25"/>
        <v>3679.33</v>
      </c>
      <c r="AV21" s="157">
        <f t="shared" si="25"/>
        <v>4544.1</v>
      </c>
      <c r="AW21" s="157">
        <f t="shared" si="25"/>
        <v>4122.08</v>
      </c>
      <c r="AX21" s="157">
        <f t="shared" si="25"/>
        <v>11393.65</v>
      </c>
      <c r="AY21" s="157">
        <f t="shared" si="25"/>
        <v>15515.73</v>
      </c>
      <c r="AZ21" s="157">
        <f t="shared" si="25"/>
        <v>0</v>
      </c>
      <c r="BA21" s="157">
        <f t="shared" si="25"/>
        <v>3236.58</v>
      </c>
      <c r="BB21" s="157">
        <f t="shared" si="25"/>
        <v>3236.58</v>
      </c>
      <c r="BC21" s="157">
        <f t="shared" si="25"/>
        <v>18752.31</v>
      </c>
      <c r="BD21" s="157">
        <f t="shared" si="25"/>
        <v>5125.21</v>
      </c>
      <c r="BE21" s="129"/>
    </row>
    <row r="22" spans="1:57" ht="74.25" customHeight="1">
      <c r="A22" s="114"/>
      <c r="B22" s="148" t="s">
        <v>3</v>
      </c>
      <c r="C22" s="148">
        <f>C21+C11</f>
        <v>12.5</v>
      </c>
      <c r="D22" s="148"/>
      <c r="E22" s="149"/>
      <c r="F22" s="149">
        <f>F21+F11</f>
        <v>1748</v>
      </c>
      <c r="G22" s="126">
        <f>G21+G11</f>
        <v>22993</v>
      </c>
      <c r="H22" s="126">
        <f>H11+H21</f>
        <v>19915.15</v>
      </c>
      <c r="I22" s="134">
        <f>I21+I11</f>
        <v>296.75</v>
      </c>
      <c r="J22" s="134">
        <f>J21+J11</f>
        <v>20211.9</v>
      </c>
      <c r="K22" s="150"/>
      <c r="L22" s="134">
        <f>L21+L11</f>
        <v>2876.47</v>
      </c>
      <c r="M22" s="134">
        <f>M21+M11</f>
        <v>23088.37</v>
      </c>
      <c r="N22" s="134"/>
      <c r="O22" s="134">
        <f>O21+O11</f>
        <v>4746.87</v>
      </c>
      <c r="P22" s="134"/>
      <c r="Q22" s="134">
        <f>Q21+Q11</f>
        <v>326.25</v>
      </c>
      <c r="R22" s="134"/>
      <c r="S22" s="134">
        <f aca="true" t="shared" si="26" ref="S22:Z22">S21+S11</f>
        <v>10811.9</v>
      </c>
      <c r="T22" s="134">
        <f t="shared" si="26"/>
        <v>0</v>
      </c>
      <c r="U22" s="134">
        <f t="shared" si="26"/>
        <v>1450</v>
      </c>
      <c r="V22" s="134">
        <f t="shared" si="26"/>
        <v>466.9</v>
      </c>
      <c r="W22" s="135">
        <f t="shared" si="26"/>
        <v>5</v>
      </c>
      <c r="X22" s="134">
        <f t="shared" si="26"/>
        <v>514.04</v>
      </c>
      <c r="Y22" s="135">
        <f t="shared" si="26"/>
        <v>0</v>
      </c>
      <c r="Z22" s="134">
        <f t="shared" si="26"/>
        <v>0</v>
      </c>
      <c r="AA22" s="158"/>
      <c r="AB22" s="134">
        <f>AB21+AB11</f>
        <v>2496</v>
      </c>
      <c r="AC22" s="134">
        <f>AC21+AC11</f>
        <v>542.45</v>
      </c>
      <c r="AD22" s="134">
        <f>AD21+AD11</f>
        <v>0</v>
      </c>
      <c r="AE22" s="134">
        <f>AE21+AE11</f>
        <v>0</v>
      </c>
      <c r="AF22" s="134">
        <f>AF21+AF11</f>
        <v>44442.78</v>
      </c>
      <c r="AG22" s="134"/>
      <c r="AH22" s="134">
        <f aca="true" t="shared" si="27" ref="AH22:AX22">AH21+AH11</f>
        <v>9436.17</v>
      </c>
      <c r="AI22" s="134">
        <f t="shared" si="27"/>
        <v>35006.61</v>
      </c>
      <c r="AJ22" s="134">
        <f t="shared" si="27"/>
        <v>1722.5</v>
      </c>
      <c r="AK22" s="134">
        <f t="shared" si="27"/>
        <v>1590.87</v>
      </c>
      <c r="AL22" s="134">
        <f t="shared" si="27"/>
        <v>6177.16</v>
      </c>
      <c r="AM22" s="134">
        <f t="shared" si="27"/>
        <v>0</v>
      </c>
      <c r="AN22" s="134">
        <f t="shared" si="27"/>
        <v>7768.03</v>
      </c>
      <c r="AO22" s="134">
        <f t="shared" si="27"/>
        <v>141.51</v>
      </c>
      <c r="AP22" s="134">
        <f t="shared" si="27"/>
        <v>525.13</v>
      </c>
      <c r="AQ22" s="134">
        <f t="shared" si="27"/>
        <v>666.64</v>
      </c>
      <c r="AR22" s="134">
        <f t="shared" si="27"/>
        <v>8.34</v>
      </c>
      <c r="AS22" s="134">
        <f t="shared" si="27"/>
        <v>436.09</v>
      </c>
      <c r="AT22" s="134">
        <f t="shared" si="27"/>
        <v>1740.72</v>
      </c>
      <c r="AU22" s="134">
        <f t="shared" si="27"/>
        <v>7138.38</v>
      </c>
      <c r="AV22" s="134">
        <f t="shared" si="27"/>
        <v>8879.1</v>
      </c>
      <c r="AW22" s="134">
        <f t="shared" si="27"/>
        <v>7695.45</v>
      </c>
      <c r="AX22" s="134">
        <f t="shared" si="27"/>
        <v>24631.65</v>
      </c>
      <c r="AY22" s="126">
        <f>SUM(AW22:AX22)</f>
        <v>32327.1</v>
      </c>
      <c r="AZ22" s="134">
        <f>AZ21+AZ11</f>
        <v>0</v>
      </c>
      <c r="BA22" s="134">
        <f>BA21+BA11</f>
        <v>3236.58</v>
      </c>
      <c r="BB22" s="126">
        <f t="shared" si="0"/>
        <v>3236.58</v>
      </c>
      <c r="BC22" s="126">
        <f>AY22+BB22</f>
        <v>35563.68</v>
      </c>
      <c r="BD22" s="128">
        <f>AF22*22%</f>
        <v>9777.41</v>
      </c>
      <c r="BE22" s="129"/>
    </row>
    <row r="23" spans="1:57" ht="74.25" customHeight="1">
      <c r="A23" s="136"/>
      <c r="B23" s="101" t="s">
        <v>45</v>
      </c>
      <c r="C23" s="101">
        <v>1</v>
      </c>
      <c r="D23" s="101" t="s">
        <v>101</v>
      </c>
      <c r="E23" s="115"/>
      <c r="F23" s="115"/>
      <c r="G23" s="138"/>
      <c r="H23" s="117">
        <f>G23/21*E23</f>
        <v>0</v>
      </c>
      <c r="I23" s="118"/>
      <c r="J23" s="118">
        <f>H23+I23</f>
        <v>0</v>
      </c>
      <c r="K23" s="119"/>
      <c r="L23" s="116">
        <f>J23*K23</f>
        <v>0</v>
      </c>
      <c r="M23" s="116">
        <f>J23+L23</f>
        <v>0</v>
      </c>
      <c r="N23" s="139"/>
      <c r="O23" s="116">
        <f>M23*N23</f>
        <v>0</v>
      </c>
      <c r="P23" s="116"/>
      <c r="Q23" s="120"/>
      <c r="R23" s="119"/>
      <c r="S23" s="138"/>
      <c r="T23" s="138"/>
      <c r="U23" s="118"/>
      <c r="V23" s="118"/>
      <c r="W23" s="111"/>
      <c r="X23" s="118"/>
      <c r="Y23" s="121">
        <v>7</v>
      </c>
      <c r="Z23" s="116">
        <v>719.68</v>
      </c>
      <c r="AA23" s="121"/>
      <c r="AB23" s="116"/>
      <c r="AC23" s="116"/>
      <c r="AD23" s="116"/>
      <c r="AE23" s="124"/>
      <c r="AF23" s="122">
        <f>AB23+Z23+X23+V23+S23+Q23+O23+M23+T23+AC23+AE23+U23+AD23</f>
        <v>719.68</v>
      </c>
      <c r="AG23" s="123"/>
      <c r="AH23" s="124">
        <v>0</v>
      </c>
      <c r="AI23" s="118">
        <f>AF23-AH23</f>
        <v>719.68</v>
      </c>
      <c r="AJ23" s="116"/>
      <c r="AK23" s="116">
        <f>AH23*18%</f>
        <v>0</v>
      </c>
      <c r="AL23" s="116">
        <f>(AF23-AJ23)*18%-AK23</f>
        <v>129.54</v>
      </c>
      <c r="AM23" s="116"/>
      <c r="AN23" s="125">
        <f>AK23+AL23</f>
        <v>129.54</v>
      </c>
      <c r="AO23" s="116">
        <f>AH23*1.5%</f>
        <v>0</v>
      </c>
      <c r="AP23" s="116">
        <f>AF23*1.5%-AO23</f>
        <v>10.8</v>
      </c>
      <c r="AQ23" s="125">
        <f>AO23+AP23</f>
        <v>10.8</v>
      </c>
      <c r="AR23" s="125"/>
      <c r="AS23" s="116">
        <f>AF23*1%</f>
        <v>7.2</v>
      </c>
      <c r="AT23" s="116">
        <f>AK23+AO23</f>
        <v>0</v>
      </c>
      <c r="AU23" s="116">
        <f>AL23+AM23+AP23+AS23</f>
        <v>147.54</v>
      </c>
      <c r="AV23" s="125">
        <f>AN23+AQ23+AS23</f>
        <v>147.54</v>
      </c>
      <c r="AW23" s="124">
        <f>AH23-(AK23+AO23)</f>
        <v>0</v>
      </c>
      <c r="AX23" s="124"/>
      <c r="AY23" s="126">
        <f>SUM(AW23:AX23)</f>
        <v>0</v>
      </c>
      <c r="AZ23" s="127"/>
      <c r="BA23" s="124">
        <f>AF23-AV23</f>
        <v>572.14</v>
      </c>
      <c r="BB23" s="126">
        <f>SUM(AZ23:BA23)</f>
        <v>572.14</v>
      </c>
      <c r="BC23" s="126">
        <f>AY23+BB23</f>
        <v>572.14</v>
      </c>
      <c r="BD23" s="128">
        <f>AF23*22%</f>
        <v>158.33</v>
      </c>
      <c r="BE23" s="129"/>
    </row>
    <row r="24" spans="1:57" ht="74.25" customHeight="1">
      <c r="A24" s="114"/>
      <c r="B24" s="101"/>
      <c r="C24" s="101"/>
      <c r="D24" s="101"/>
      <c r="E24" s="115"/>
      <c r="F24" s="115"/>
      <c r="G24" s="116"/>
      <c r="H24" s="117"/>
      <c r="I24" s="118"/>
      <c r="J24" s="118"/>
      <c r="K24" s="119"/>
      <c r="L24" s="116"/>
      <c r="M24" s="116"/>
      <c r="N24" s="139"/>
      <c r="O24" s="116"/>
      <c r="P24" s="116"/>
      <c r="Q24" s="120"/>
      <c r="R24" s="119"/>
      <c r="S24" s="116"/>
      <c r="T24" s="118"/>
      <c r="U24" s="118"/>
      <c r="V24" s="118"/>
      <c r="W24" s="111"/>
      <c r="X24" s="118"/>
      <c r="Y24" s="121"/>
      <c r="Z24" s="116"/>
      <c r="AA24" s="121"/>
      <c r="AB24" s="116"/>
      <c r="AC24" s="116"/>
      <c r="AD24" s="116"/>
      <c r="AE24" s="124"/>
      <c r="AF24" s="122"/>
      <c r="AG24" s="123"/>
      <c r="AH24" s="124"/>
      <c r="AI24" s="118"/>
      <c r="AJ24" s="116"/>
      <c r="AK24" s="116"/>
      <c r="AL24" s="116"/>
      <c r="AM24" s="116"/>
      <c r="AN24" s="125"/>
      <c r="AO24" s="116"/>
      <c r="AP24" s="116"/>
      <c r="AQ24" s="125"/>
      <c r="AR24" s="125"/>
      <c r="AS24" s="116"/>
      <c r="AT24" s="116"/>
      <c r="AU24" s="116"/>
      <c r="AV24" s="125"/>
      <c r="AW24" s="124"/>
      <c r="AX24" s="124"/>
      <c r="AY24" s="126"/>
      <c r="AZ24" s="127"/>
      <c r="BA24" s="124"/>
      <c r="BB24" s="126"/>
      <c r="BC24" s="126"/>
      <c r="BD24" s="128"/>
      <c r="BE24" s="129"/>
    </row>
    <row r="25" spans="1:57" ht="74.2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0"/>
      <c r="U25" s="110"/>
      <c r="V25" s="110"/>
      <c r="W25" s="110"/>
      <c r="X25" s="110"/>
      <c r="Y25" s="114"/>
      <c r="Z25" s="114"/>
      <c r="AA25" s="114"/>
      <c r="AB25" s="114"/>
      <c r="AC25" s="114"/>
      <c r="AD25" s="114"/>
      <c r="AE25" s="114"/>
      <c r="AF25" s="128"/>
      <c r="AG25" s="128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6"/>
      <c r="AY25" s="116"/>
      <c r="AZ25" s="114"/>
      <c r="BA25" s="151"/>
      <c r="BB25" s="116"/>
      <c r="BC25" s="116"/>
      <c r="BD25" s="128">
        <f>BD24+BD22</f>
        <v>9777.41</v>
      </c>
      <c r="BE25" s="129"/>
    </row>
    <row r="26" spans="20:57" ht="74.25" customHeight="1">
      <c r="T26" s="143"/>
      <c r="U26" s="143"/>
      <c r="V26" s="143"/>
      <c r="W26" s="143"/>
      <c r="X26" s="143"/>
      <c r="AF26" s="152"/>
      <c r="BD26" s="99">
        <v>143.55</v>
      </c>
      <c r="BE26" s="129"/>
    </row>
    <row r="27" spans="20:57" ht="74.25" customHeight="1">
      <c r="T27" s="143"/>
      <c r="U27" s="143"/>
      <c r="V27" s="143"/>
      <c r="W27" s="143"/>
      <c r="X27" s="143"/>
      <c r="BD27" s="163">
        <f>BD25+BD26</f>
        <v>9920.96</v>
      </c>
      <c r="BE27" s="129"/>
    </row>
    <row r="28" spans="20:57" ht="74.25" customHeight="1">
      <c r="T28" s="143"/>
      <c r="U28" s="143"/>
      <c r="V28" s="143"/>
      <c r="W28" s="143"/>
      <c r="X28" s="143"/>
      <c r="BE28" s="129"/>
    </row>
    <row r="29" spans="20:57" ht="74.25" customHeight="1">
      <c r="T29" s="143"/>
      <c r="U29" s="143"/>
      <c r="V29" s="143"/>
      <c r="W29" s="143"/>
      <c r="X29" s="143"/>
      <c r="BE29" s="129"/>
    </row>
    <row r="30" spans="20:57" ht="74.25" customHeight="1">
      <c r="T30" s="143"/>
      <c r="U30" s="143"/>
      <c r="V30" s="143"/>
      <c r="W30" s="143"/>
      <c r="X30" s="143"/>
      <c r="BE30" s="129"/>
    </row>
    <row r="31" spans="20:57" ht="74.25" customHeight="1">
      <c r="T31" s="143"/>
      <c r="U31" s="143"/>
      <c r="V31" s="143"/>
      <c r="W31" s="143"/>
      <c r="X31" s="143"/>
      <c r="BE31" s="129"/>
    </row>
    <row r="32" spans="20:57" ht="74.25" customHeight="1">
      <c r="T32" s="143"/>
      <c r="U32" s="143"/>
      <c r="V32" s="143"/>
      <c r="W32" s="143"/>
      <c r="X32" s="143"/>
      <c r="BE32" s="129"/>
    </row>
    <row r="33" spans="20:57" ht="74.25" customHeight="1">
      <c r="T33" s="143"/>
      <c r="U33" s="143"/>
      <c r="V33" s="143"/>
      <c r="W33" s="143"/>
      <c r="X33" s="143"/>
      <c r="BE33" s="129"/>
    </row>
    <row r="34" spans="20:57" ht="74.25" customHeight="1">
      <c r="T34" s="143"/>
      <c r="U34" s="143"/>
      <c r="V34" s="143"/>
      <c r="W34" s="143"/>
      <c r="X34" s="143"/>
      <c r="BE34" s="129"/>
    </row>
    <row r="35" spans="20:57" ht="74.25" customHeight="1">
      <c r="T35" s="143"/>
      <c r="U35" s="143"/>
      <c r="V35" s="143"/>
      <c r="W35" s="143"/>
      <c r="X35" s="143"/>
      <c r="BE35" s="129"/>
    </row>
    <row r="36" spans="20:57" ht="74.25" customHeight="1">
      <c r="T36" s="143"/>
      <c r="U36" s="143"/>
      <c r="V36" s="143"/>
      <c r="W36" s="143"/>
      <c r="X36" s="143"/>
      <c r="BE36" s="129"/>
    </row>
    <row r="37" spans="20:24" ht="74.25" customHeight="1">
      <c r="T37" s="143"/>
      <c r="U37" s="143"/>
      <c r="V37" s="143"/>
      <c r="W37" s="143"/>
      <c r="X37" s="143"/>
    </row>
    <row r="38" spans="20:24" ht="74.25" customHeight="1">
      <c r="T38" s="143"/>
      <c r="U38" s="143"/>
      <c r="V38" s="143"/>
      <c r="W38" s="143"/>
      <c r="X38" s="143"/>
    </row>
    <row r="39" spans="20:24" ht="74.25" customHeight="1">
      <c r="T39" s="143"/>
      <c r="U39" s="143"/>
      <c r="V39" s="143"/>
      <c r="W39" s="143"/>
      <c r="X39" s="143"/>
    </row>
    <row r="40" spans="20:24" ht="74.25" customHeight="1">
      <c r="T40" s="143"/>
      <c r="U40" s="143"/>
      <c r="V40" s="143"/>
      <c r="W40" s="143"/>
      <c r="X40" s="143"/>
    </row>
    <row r="41" spans="20:24" ht="74.25" customHeight="1">
      <c r="T41" s="143"/>
      <c r="U41" s="143"/>
      <c r="V41" s="143"/>
      <c r="W41" s="143"/>
      <c r="X41" s="143"/>
    </row>
  </sheetData>
  <sheetProtection/>
  <mergeCells count="49">
    <mergeCell ref="AT4:AV4"/>
    <mergeCell ref="AW4:AX4"/>
    <mergeCell ref="AY4:AY5"/>
    <mergeCell ref="AZ4:BA4"/>
    <mergeCell ref="BB4:BB5"/>
    <mergeCell ref="AM4:AM5"/>
    <mergeCell ref="AN4:AN5"/>
    <mergeCell ref="AO4:AP4"/>
    <mergeCell ref="AQ4:AQ5"/>
    <mergeCell ref="AR4:AR5"/>
    <mergeCell ref="AS4:AS5"/>
    <mergeCell ref="AJ3:AV3"/>
    <mergeCell ref="AW3:BB3"/>
    <mergeCell ref="BC3:BC5"/>
    <mergeCell ref="BD3:BD5"/>
    <mergeCell ref="N4:O4"/>
    <mergeCell ref="P4:Q4"/>
    <mergeCell ref="W4:X4"/>
    <mergeCell ref="Y4:Z4"/>
    <mergeCell ref="AJ4:AJ5"/>
    <mergeCell ref="AK4:AL4"/>
    <mergeCell ref="AD3:AD5"/>
    <mergeCell ref="AE3:AE5"/>
    <mergeCell ref="AF3:AF5"/>
    <mergeCell ref="AG3:AG5"/>
    <mergeCell ref="AH3:AH5"/>
    <mergeCell ref="AI3:AI5"/>
    <mergeCell ref="T3:T5"/>
    <mergeCell ref="U3:U5"/>
    <mergeCell ref="V3:V5"/>
    <mergeCell ref="W3:Z3"/>
    <mergeCell ref="AA3:AB4"/>
    <mergeCell ref="AC3:AC5"/>
    <mergeCell ref="I3:I5"/>
    <mergeCell ref="J3:J5"/>
    <mergeCell ref="K3:L4"/>
    <mergeCell ref="M3:M5"/>
    <mergeCell ref="N3:Q3"/>
    <mergeCell ref="R3:S4"/>
    <mergeCell ref="A1:Z1"/>
    <mergeCell ref="AF1:BB1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18" r:id="rId2"/>
  <colBreaks count="2" manualBreakCount="2">
    <brk id="32" max="24" man="1"/>
    <brk id="5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38"/>
  <sheetViews>
    <sheetView view="pageBreakPreview" zoomScale="21" zoomScaleNormal="30" zoomScaleSheetLayoutView="21" zoomScalePageLayoutView="0" workbookViewId="0" topLeftCell="C1">
      <selection activeCell="A1" sqref="A1:IV16384"/>
    </sheetView>
  </sheetViews>
  <sheetFormatPr defaultColWidth="15.7109375" defaultRowHeight="74.25" customHeight="1"/>
  <cols>
    <col min="1" max="1" width="10.28125" style="100" customWidth="1"/>
    <col min="2" max="2" width="49.140625" style="100" customWidth="1"/>
    <col min="3" max="3" width="12.421875" style="100" customWidth="1"/>
    <col min="4" max="4" width="50.140625" style="100" customWidth="1"/>
    <col min="5" max="5" width="21.00390625" style="100" customWidth="1"/>
    <col min="6" max="6" width="19.7109375" style="100" customWidth="1"/>
    <col min="7" max="7" width="37.8515625" style="100" customWidth="1"/>
    <col min="8" max="8" width="32.140625" style="100" customWidth="1"/>
    <col min="9" max="9" width="18.7109375" style="100" customWidth="1"/>
    <col min="10" max="10" width="27.140625" style="100" customWidth="1"/>
    <col min="11" max="11" width="15.140625" style="100" customWidth="1"/>
    <col min="12" max="12" width="22.8515625" style="100" customWidth="1"/>
    <col min="13" max="13" width="25.421875" style="100" customWidth="1"/>
    <col min="14" max="14" width="15.7109375" style="100" customWidth="1"/>
    <col min="15" max="15" width="22.57421875" style="100" customWidth="1"/>
    <col min="16" max="16" width="18.28125" style="100" customWidth="1"/>
    <col min="17" max="17" width="18.421875" style="100" customWidth="1"/>
    <col min="18" max="18" width="18.00390625" style="100" customWidth="1"/>
    <col min="19" max="19" width="22.8515625" style="100" customWidth="1"/>
    <col min="20" max="20" width="20.421875" style="100" customWidth="1"/>
    <col min="21" max="21" width="21.00390625" style="100" customWidth="1"/>
    <col min="22" max="22" width="23.57421875" style="100" customWidth="1"/>
    <col min="23" max="23" width="14.7109375" style="100" customWidth="1"/>
    <col min="24" max="24" width="15.28125" style="100" customWidth="1"/>
    <col min="25" max="25" width="13.28125" style="100" customWidth="1"/>
    <col min="26" max="26" width="13.140625" style="100" customWidth="1"/>
    <col min="27" max="27" width="15.7109375" style="100" customWidth="1"/>
    <col min="28" max="28" width="20.140625" style="100" customWidth="1"/>
    <col min="29" max="29" width="18.8515625" style="100" customWidth="1"/>
    <col min="30" max="30" width="21.421875" style="100" customWidth="1"/>
    <col min="31" max="31" width="17.57421875" style="100" customWidth="1"/>
    <col min="32" max="32" width="39.57421875" style="153" customWidth="1"/>
    <col min="33" max="33" width="31.7109375" style="153" customWidth="1"/>
    <col min="34" max="34" width="28.421875" style="100" customWidth="1"/>
    <col min="35" max="35" width="27.421875" style="100" customWidth="1"/>
    <col min="36" max="36" width="31.7109375" style="100" customWidth="1"/>
    <col min="37" max="37" width="21.7109375" style="100" customWidth="1"/>
    <col min="38" max="38" width="22.140625" style="100" customWidth="1"/>
    <col min="39" max="39" width="16.00390625" style="100" customWidth="1"/>
    <col min="40" max="40" width="23.140625" style="100" customWidth="1"/>
    <col min="41" max="41" width="20.7109375" style="100" customWidth="1"/>
    <col min="42" max="42" width="27.00390625" style="100" customWidth="1"/>
    <col min="43" max="43" width="31.7109375" style="100" customWidth="1"/>
    <col min="44" max="44" width="22.28125" style="100" customWidth="1"/>
    <col min="45" max="45" width="22.7109375" style="100" customWidth="1"/>
    <col min="46" max="46" width="27.00390625" style="100" customWidth="1"/>
    <col min="47" max="47" width="31.7109375" style="100" customWidth="1"/>
    <col min="48" max="48" width="34.7109375" style="100" customWidth="1"/>
    <col min="49" max="49" width="37.00390625" style="100" customWidth="1"/>
    <col min="50" max="50" width="33.28125" style="100" customWidth="1"/>
    <col min="51" max="51" width="35.57421875" style="100" customWidth="1"/>
    <col min="52" max="52" width="28.421875" style="100" customWidth="1"/>
    <col min="53" max="53" width="28.421875" style="153" customWidth="1"/>
    <col min="54" max="54" width="31.28125" style="100" customWidth="1"/>
    <col min="55" max="56" width="38.00390625" style="100" customWidth="1"/>
    <col min="57" max="16384" width="15.7109375" style="100" customWidth="1"/>
  </cols>
  <sheetData>
    <row r="1" spans="1:58" ht="74.25" customHeight="1">
      <c r="A1" s="379" t="s">
        <v>110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9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99"/>
      <c r="BD1" s="99"/>
      <c r="BE1" s="99"/>
      <c r="BF1" s="99"/>
    </row>
    <row r="2" spans="1:58" ht="74.25" customHeight="1">
      <c r="A2" s="155" t="s">
        <v>96</v>
      </c>
      <c r="B2" s="155"/>
      <c r="C2" s="155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6"/>
      <c r="AC2" s="156"/>
      <c r="AD2" s="156"/>
      <c r="AE2" s="156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4"/>
      <c r="BD2" s="154"/>
      <c r="BE2" s="99"/>
      <c r="BF2" s="99"/>
    </row>
    <row r="3" spans="1:56" ht="74.25" customHeight="1">
      <c r="A3" s="380" t="s">
        <v>0</v>
      </c>
      <c r="B3" s="380" t="s">
        <v>40</v>
      </c>
      <c r="C3" s="381" t="s">
        <v>53</v>
      </c>
      <c r="D3" s="380" t="s">
        <v>21</v>
      </c>
      <c r="E3" s="380" t="s">
        <v>1</v>
      </c>
      <c r="F3" s="380" t="s">
        <v>2</v>
      </c>
      <c r="G3" s="384" t="s">
        <v>65</v>
      </c>
      <c r="H3" s="384" t="s">
        <v>66</v>
      </c>
      <c r="I3" s="387" t="s">
        <v>7</v>
      </c>
      <c r="J3" s="387" t="s">
        <v>6</v>
      </c>
      <c r="K3" s="388" t="s">
        <v>8</v>
      </c>
      <c r="L3" s="389"/>
      <c r="M3" s="387" t="s">
        <v>6</v>
      </c>
      <c r="N3" s="388" t="s">
        <v>9</v>
      </c>
      <c r="O3" s="392"/>
      <c r="P3" s="392"/>
      <c r="Q3" s="392"/>
      <c r="R3" s="388" t="s">
        <v>10</v>
      </c>
      <c r="S3" s="389"/>
      <c r="T3" s="393" t="s">
        <v>111</v>
      </c>
      <c r="U3" s="396" t="s">
        <v>80</v>
      </c>
      <c r="V3" s="399" t="s">
        <v>107</v>
      </c>
      <c r="W3" s="388" t="s">
        <v>26</v>
      </c>
      <c r="X3" s="392"/>
      <c r="Y3" s="392"/>
      <c r="Z3" s="389"/>
      <c r="AA3" s="388" t="s">
        <v>109</v>
      </c>
      <c r="AB3" s="389"/>
      <c r="AC3" s="381" t="s">
        <v>105</v>
      </c>
      <c r="AD3" s="406" t="s">
        <v>55</v>
      </c>
      <c r="AE3" s="381" t="s">
        <v>112</v>
      </c>
      <c r="AF3" s="409" t="s">
        <v>13</v>
      </c>
      <c r="AG3" s="410" t="s">
        <v>68</v>
      </c>
      <c r="AH3" s="433" t="s">
        <v>31</v>
      </c>
      <c r="AI3" s="414" t="s">
        <v>32</v>
      </c>
      <c r="AJ3" s="417" t="s">
        <v>72</v>
      </c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8" t="s">
        <v>18</v>
      </c>
      <c r="AX3" s="419"/>
      <c r="AY3" s="419"/>
      <c r="AZ3" s="419"/>
      <c r="BA3" s="419"/>
      <c r="BB3" s="420"/>
      <c r="BC3" s="421" t="s">
        <v>73</v>
      </c>
      <c r="BD3" s="411" t="s">
        <v>84</v>
      </c>
    </row>
    <row r="4" spans="1:56" ht="74.25" customHeight="1">
      <c r="A4" s="380"/>
      <c r="B4" s="380"/>
      <c r="C4" s="382"/>
      <c r="D4" s="380"/>
      <c r="E4" s="380"/>
      <c r="F4" s="380"/>
      <c r="G4" s="385"/>
      <c r="H4" s="385"/>
      <c r="I4" s="387"/>
      <c r="J4" s="387"/>
      <c r="K4" s="390"/>
      <c r="L4" s="391"/>
      <c r="M4" s="387"/>
      <c r="N4" s="380" t="s">
        <v>24</v>
      </c>
      <c r="O4" s="380"/>
      <c r="P4" s="380" t="s">
        <v>25</v>
      </c>
      <c r="Q4" s="380"/>
      <c r="R4" s="390"/>
      <c r="S4" s="391"/>
      <c r="T4" s="394"/>
      <c r="U4" s="397"/>
      <c r="V4" s="400"/>
      <c r="W4" s="402" t="s">
        <v>28</v>
      </c>
      <c r="X4" s="403"/>
      <c r="Y4" s="402" t="s">
        <v>29</v>
      </c>
      <c r="Z4" s="403"/>
      <c r="AA4" s="404"/>
      <c r="AB4" s="405"/>
      <c r="AC4" s="382"/>
      <c r="AD4" s="407"/>
      <c r="AE4" s="382"/>
      <c r="AF4" s="409"/>
      <c r="AG4" s="410"/>
      <c r="AH4" s="434"/>
      <c r="AI4" s="415"/>
      <c r="AJ4" s="424" t="s">
        <v>64</v>
      </c>
      <c r="AK4" s="402" t="s">
        <v>54</v>
      </c>
      <c r="AL4" s="403"/>
      <c r="AM4" s="381" t="s">
        <v>63</v>
      </c>
      <c r="AN4" s="381" t="s">
        <v>51</v>
      </c>
      <c r="AO4" s="388" t="s">
        <v>69</v>
      </c>
      <c r="AP4" s="389"/>
      <c r="AQ4" s="384" t="s">
        <v>70</v>
      </c>
      <c r="AR4" s="384" t="s">
        <v>83</v>
      </c>
      <c r="AS4" s="384" t="s">
        <v>71</v>
      </c>
      <c r="AT4" s="430" t="s">
        <v>17</v>
      </c>
      <c r="AU4" s="431"/>
      <c r="AV4" s="432"/>
      <c r="AW4" s="418" t="s">
        <v>19</v>
      </c>
      <c r="AX4" s="420"/>
      <c r="AY4" s="426" t="s">
        <v>33</v>
      </c>
      <c r="AZ4" s="418" t="s">
        <v>20</v>
      </c>
      <c r="BA4" s="420"/>
      <c r="BB4" s="428" t="s">
        <v>33</v>
      </c>
      <c r="BC4" s="422"/>
      <c r="BD4" s="412"/>
    </row>
    <row r="5" spans="1:56" ht="74.25" customHeight="1">
      <c r="A5" s="380"/>
      <c r="B5" s="380"/>
      <c r="C5" s="383"/>
      <c r="D5" s="380"/>
      <c r="E5" s="380"/>
      <c r="F5" s="380"/>
      <c r="G5" s="386"/>
      <c r="H5" s="386"/>
      <c r="I5" s="387"/>
      <c r="J5" s="387"/>
      <c r="K5" s="164" t="s">
        <v>22</v>
      </c>
      <c r="L5" s="101" t="s">
        <v>23</v>
      </c>
      <c r="M5" s="387"/>
      <c r="N5" s="164" t="s">
        <v>22</v>
      </c>
      <c r="O5" s="101" t="s">
        <v>23</v>
      </c>
      <c r="P5" s="109" t="s">
        <v>22</v>
      </c>
      <c r="Q5" s="109" t="s">
        <v>23</v>
      </c>
      <c r="R5" s="164" t="s">
        <v>22</v>
      </c>
      <c r="S5" s="101" t="s">
        <v>23</v>
      </c>
      <c r="T5" s="395"/>
      <c r="U5" s="398"/>
      <c r="V5" s="401"/>
      <c r="W5" s="110" t="s">
        <v>27</v>
      </c>
      <c r="X5" s="110" t="s">
        <v>23</v>
      </c>
      <c r="Y5" s="111" t="s">
        <v>27</v>
      </c>
      <c r="Z5" s="110" t="s">
        <v>23</v>
      </c>
      <c r="AA5" s="110" t="s">
        <v>27</v>
      </c>
      <c r="AB5" s="110" t="s">
        <v>23</v>
      </c>
      <c r="AC5" s="383"/>
      <c r="AD5" s="408"/>
      <c r="AE5" s="383"/>
      <c r="AF5" s="409"/>
      <c r="AG5" s="410"/>
      <c r="AH5" s="435"/>
      <c r="AI5" s="416"/>
      <c r="AJ5" s="425"/>
      <c r="AK5" s="101" t="s">
        <v>15</v>
      </c>
      <c r="AL5" s="101" t="s">
        <v>16</v>
      </c>
      <c r="AM5" s="383"/>
      <c r="AN5" s="383"/>
      <c r="AO5" s="102" t="s">
        <v>15</v>
      </c>
      <c r="AP5" s="101" t="s">
        <v>16</v>
      </c>
      <c r="AQ5" s="386"/>
      <c r="AR5" s="386"/>
      <c r="AS5" s="386"/>
      <c r="AT5" s="102" t="s">
        <v>15</v>
      </c>
      <c r="AU5" s="101" t="s">
        <v>16</v>
      </c>
      <c r="AV5" s="104" t="s">
        <v>73</v>
      </c>
      <c r="AW5" s="112" t="s">
        <v>15</v>
      </c>
      <c r="AX5" s="113" t="s">
        <v>16</v>
      </c>
      <c r="AY5" s="427"/>
      <c r="AZ5" s="112" t="s">
        <v>15</v>
      </c>
      <c r="BA5" s="113" t="s">
        <v>16</v>
      </c>
      <c r="BB5" s="429"/>
      <c r="BC5" s="423"/>
      <c r="BD5" s="413"/>
    </row>
    <row r="6" spans="1:57" ht="74.25" customHeight="1">
      <c r="A6" s="114">
        <v>1</v>
      </c>
      <c r="B6" s="107" t="s">
        <v>60</v>
      </c>
      <c r="C6" s="101">
        <v>1</v>
      </c>
      <c r="D6" s="108" t="s">
        <v>89</v>
      </c>
      <c r="E6" s="115">
        <v>21</v>
      </c>
      <c r="F6" s="115">
        <v>168</v>
      </c>
      <c r="G6" s="116">
        <v>3127</v>
      </c>
      <c r="H6" s="117">
        <f>G6/21*E6</f>
        <v>3127</v>
      </c>
      <c r="I6" s="118">
        <v>90</v>
      </c>
      <c r="J6" s="118">
        <f>H6+I6</f>
        <v>3217</v>
      </c>
      <c r="K6" s="119"/>
      <c r="L6" s="116"/>
      <c r="M6" s="116">
        <f>J6+L6</f>
        <v>3217</v>
      </c>
      <c r="N6" s="116"/>
      <c r="O6" s="116"/>
      <c r="P6" s="116"/>
      <c r="Q6" s="120"/>
      <c r="R6" s="119">
        <v>1</v>
      </c>
      <c r="S6" s="116">
        <f>H6*R6</f>
        <v>3127</v>
      </c>
      <c r="T6" s="118"/>
      <c r="U6" s="118"/>
      <c r="V6" s="118">
        <f>59.45/21*E6</f>
        <v>59.45</v>
      </c>
      <c r="W6" s="111"/>
      <c r="X6" s="118"/>
      <c r="Y6" s="121"/>
      <c r="Z6" s="116"/>
      <c r="AA6" s="121"/>
      <c r="AB6" s="116"/>
      <c r="AC6" s="116"/>
      <c r="AD6" s="116"/>
      <c r="AE6" s="116"/>
      <c r="AF6" s="122">
        <f>AB6+Z6+X6+V6+S6+Q6+O6+M6+T6+AC6+AE6+U6+AD6</f>
        <v>6403.45</v>
      </c>
      <c r="AG6" s="123">
        <v>11</v>
      </c>
      <c r="AH6" s="165">
        <f>G6/E6*AG6</f>
        <v>1637.95</v>
      </c>
      <c r="AI6" s="118">
        <f>AF6-AH6</f>
        <v>4765.5</v>
      </c>
      <c r="AJ6" s="116"/>
      <c r="AK6" s="116">
        <f>AH6*18%</f>
        <v>294.83</v>
      </c>
      <c r="AL6" s="116">
        <f>(AF6-AJ6)*18%-AK6</f>
        <v>857.79</v>
      </c>
      <c r="AM6" s="116"/>
      <c r="AN6" s="125">
        <f>SUM(AK6:AM6)</f>
        <v>1152.62</v>
      </c>
      <c r="AO6" s="116">
        <f>AH6*1.5%</f>
        <v>24.57</v>
      </c>
      <c r="AP6" s="116">
        <f>AF6*1.5%-AO6</f>
        <v>71.48</v>
      </c>
      <c r="AQ6" s="125">
        <f>AO6+AP6</f>
        <v>96.05</v>
      </c>
      <c r="AR6" s="125"/>
      <c r="AS6" s="116">
        <f>AF6*1%</f>
        <v>64.03</v>
      </c>
      <c r="AT6" s="116">
        <f>AK6+AO6</f>
        <v>319.4</v>
      </c>
      <c r="AU6" s="116">
        <f>AL6+AM6+AP6+AS6</f>
        <v>993.3</v>
      </c>
      <c r="AV6" s="125">
        <f>AN6+AQ6+AS6</f>
        <v>1312.7</v>
      </c>
      <c r="AW6" s="124">
        <f>AH6-(AK6+AO6)</f>
        <v>1318.55</v>
      </c>
      <c r="AX6" s="124">
        <f>AF6-(AV6+AW6)</f>
        <v>3772.2</v>
      </c>
      <c r="AY6" s="126">
        <f>SUM(AW6:AX6)</f>
        <v>5090.75</v>
      </c>
      <c r="AZ6" s="127"/>
      <c r="BA6" s="124"/>
      <c r="BB6" s="126">
        <f>SUM(AZ6:BA6)</f>
        <v>0</v>
      </c>
      <c r="BC6" s="126">
        <f>AY6+BB6</f>
        <v>5090.75</v>
      </c>
      <c r="BD6" s="128">
        <f>AF6*22%</f>
        <v>1408.76</v>
      </c>
      <c r="BE6" s="129"/>
    </row>
    <row r="7" spans="1:57" ht="74.25" customHeight="1">
      <c r="A7" s="114">
        <v>2</v>
      </c>
      <c r="B7" s="107" t="s">
        <v>34</v>
      </c>
      <c r="C7" s="101">
        <v>1</v>
      </c>
      <c r="D7" s="108" t="s">
        <v>90</v>
      </c>
      <c r="E7" s="115">
        <v>11</v>
      </c>
      <c r="F7" s="115">
        <v>88</v>
      </c>
      <c r="G7" s="116">
        <v>2457</v>
      </c>
      <c r="H7" s="117">
        <f>G7/21*E7</f>
        <v>1287</v>
      </c>
      <c r="I7" s="118">
        <f>90</f>
        <v>90</v>
      </c>
      <c r="J7" s="118">
        <f>H7+I7</f>
        <v>1377</v>
      </c>
      <c r="K7" s="119">
        <v>0.4</v>
      </c>
      <c r="L7" s="116">
        <f>J7*K7</f>
        <v>550.8</v>
      </c>
      <c r="M7" s="116">
        <f>J7+L7</f>
        <v>1927.8</v>
      </c>
      <c r="N7" s="116"/>
      <c r="O7" s="116"/>
      <c r="P7" s="116"/>
      <c r="Q7" s="120"/>
      <c r="R7" s="119">
        <v>1</v>
      </c>
      <c r="S7" s="116">
        <f>H7*R7</f>
        <v>1287</v>
      </c>
      <c r="T7" s="118"/>
      <c r="U7" s="118"/>
      <c r="V7" s="118">
        <f aca="true" t="shared" si="0" ref="V7:V14">59.45/21*E7</f>
        <v>31.14</v>
      </c>
      <c r="W7" s="111"/>
      <c r="X7" s="118"/>
      <c r="Y7" s="121"/>
      <c r="Z7" s="116"/>
      <c r="AA7" s="121">
        <v>12</v>
      </c>
      <c r="AB7" s="116">
        <v>2248.85</v>
      </c>
      <c r="AC7" s="116"/>
      <c r="AD7" s="116">
        <v>6052.53</v>
      </c>
      <c r="AE7" s="116"/>
      <c r="AF7" s="122">
        <f>AB7+Z7+X7+V7+S7+Q7+O7+M7+T7+AC7+AE7+U7+AD7</f>
        <v>11547.32</v>
      </c>
      <c r="AG7" s="123"/>
      <c r="AH7" s="165">
        <f>AF7</f>
        <v>11547.32</v>
      </c>
      <c r="AI7" s="118">
        <f>AF7-AH7</f>
        <v>0</v>
      </c>
      <c r="AJ7" s="116"/>
      <c r="AK7" s="116">
        <f>AH7*18%</f>
        <v>2078.52</v>
      </c>
      <c r="AL7" s="116">
        <f>(AF7-AJ7)*18%-AK7</f>
        <v>0</v>
      </c>
      <c r="AM7" s="116"/>
      <c r="AN7" s="125">
        <f>SUM(AK7:AM7)</f>
        <v>2078.52</v>
      </c>
      <c r="AO7" s="116">
        <f>AH7*1.5%</f>
        <v>173.21</v>
      </c>
      <c r="AP7" s="116">
        <f>AF7*1.5%-AO7</f>
        <v>0</v>
      </c>
      <c r="AQ7" s="125">
        <f>AO7+AP7</f>
        <v>173.21</v>
      </c>
      <c r="AR7" s="116">
        <f>AH7*1%</f>
        <v>115.47</v>
      </c>
      <c r="AS7" s="116"/>
      <c r="AT7" s="116">
        <f>AK7+AO7+AR7</f>
        <v>2367.2</v>
      </c>
      <c r="AU7" s="116">
        <f>AL7+AM7+AP7+AS7</f>
        <v>0</v>
      </c>
      <c r="AV7" s="125">
        <f>AN7+AQ7+AR7</f>
        <v>2367.2</v>
      </c>
      <c r="AW7" s="124">
        <f>AF7-AV7</f>
        <v>9180.12</v>
      </c>
      <c r="AX7" s="124">
        <f>AF7-(AV7+AW7)</f>
        <v>0</v>
      </c>
      <c r="AY7" s="126">
        <f>SUM(AW7:AX7)</f>
        <v>9180.12</v>
      </c>
      <c r="AZ7" s="127"/>
      <c r="BA7" s="124"/>
      <c r="BB7" s="126">
        <f aca="true" t="shared" si="1" ref="BB7:BB20">SUM(AZ7:BA7)</f>
        <v>0</v>
      </c>
      <c r="BC7" s="126">
        <f>AY7+BB7</f>
        <v>9180.12</v>
      </c>
      <c r="BD7" s="128">
        <f>AF7*22%</f>
        <v>2540.41</v>
      </c>
      <c r="BE7" s="129"/>
    </row>
    <row r="8" spans="1:57" ht="74.25" customHeight="1">
      <c r="A8" s="114">
        <v>3</v>
      </c>
      <c r="B8" s="107" t="s">
        <v>36</v>
      </c>
      <c r="C8" s="101">
        <v>1</v>
      </c>
      <c r="D8" s="108" t="s">
        <v>91</v>
      </c>
      <c r="E8" s="115">
        <v>21</v>
      </c>
      <c r="F8" s="115">
        <v>168</v>
      </c>
      <c r="G8" s="116">
        <v>1723</v>
      </c>
      <c r="H8" s="117">
        <f>G8/21*E8</f>
        <v>1723</v>
      </c>
      <c r="I8" s="118">
        <f>55</f>
        <v>55</v>
      </c>
      <c r="J8" s="118">
        <f>H8+I8</f>
        <v>1778</v>
      </c>
      <c r="K8" s="119">
        <v>0.15</v>
      </c>
      <c r="L8" s="116">
        <f>J8*K8</f>
        <v>266.7</v>
      </c>
      <c r="M8" s="116">
        <f>J8+L8</f>
        <v>2044.7</v>
      </c>
      <c r="N8" s="116"/>
      <c r="O8" s="116"/>
      <c r="P8" s="116"/>
      <c r="Q8" s="120"/>
      <c r="R8" s="119">
        <v>1</v>
      </c>
      <c r="S8" s="116">
        <f>H8*R8</f>
        <v>1723</v>
      </c>
      <c r="T8" s="118"/>
      <c r="U8" s="118"/>
      <c r="V8" s="118">
        <f t="shared" si="0"/>
        <v>59.45</v>
      </c>
      <c r="W8" s="111"/>
      <c r="X8" s="118"/>
      <c r="Y8" s="121"/>
      <c r="Z8" s="116"/>
      <c r="AA8" s="121"/>
      <c r="AB8" s="116"/>
      <c r="AC8" s="116"/>
      <c r="AD8" s="116"/>
      <c r="AE8" s="116">
        <v>500</v>
      </c>
      <c r="AF8" s="122">
        <f>AB8+Z8+X8+V8+S8+Q8+O8+M8+T8+AC8+AE8+U8+AD8</f>
        <v>4327.15</v>
      </c>
      <c r="AG8" s="123">
        <v>11</v>
      </c>
      <c r="AH8" s="165">
        <f>G8/E8*AG8</f>
        <v>902.52</v>
      </c>
      <c r="AI8" s="118">
        <f>AF8-AH8</f>
        <v>3424.63</v>
      </c>
      <c r="AJ8" s="116"/>
      <c r="AK8" s="116">
        <f>AH8*18%</f>
        <v>162.45</v>
      </c>
      <c r="AL8" s="116">
        <f>(AF8-AJ8)*18%-AK8</f>
        <v>616.44</v>
      </c>
      <c r="AM8" s="116"/>
      <c r="AN8" s="125">
        <f>SUM(AK8:AM8)</f>
        <v>778.89</v>
      </c>
      <c r="AO8" s="116">
        <f>AH8*1.5%</f>
        <v>13.54</v>
      </c>
      <c r="AP8" s="116">
        <f>AF8*1.5%-AO8</f>
        <v>51.37</v>
      </c>
      <c r="AQ8" s="125">
        <f>AO8+AP8</f>
        <v>64.91</v>
      </c>
      <c r="AR8" s="125"/>
      <c r="AS8" s="116">
        <f>AF8*1%</f>
        <v>43.27</v>
      </c>
      <c r="AT8" s="116">
        <f>AK8+AO8</f>
        <v>175.99</v>
      </c>
      <c r="AU8" s="116">
        <f>AL8+AM8+AP8+AS8</f>
        <v>711.08</v>
      </c>
      <c r="AV8" s="125">
        <f>AN8+AQ8+AS8</f>
        <v>887.07</v>
      </c>
      <c r="AW8" s="124">
        <f>AH8-(AK8+AO8)</f>
        <v>726.53</v>
      </c>
      <c r="AX8" s="124">
        <f>AF8-(AV8+AW8)</f>
        <v>2713.55</v>
      </c>
      <c r="AY8" s="126">
        <f>SUM(AW8:AX8)</f>
        <v>3440.08</v>
      </c>
      <c r="AZ8" s="127"/>
      <c r="BA8" s="124"/>
      <c r="BB8" s="126">
        <f t="shared" si="1"/>
        <v>0</v>
      </c>
      <c r="BC8" s="126">
        <f>AY8+BB8</f>
        <v>3440.08</v>
      </c>
      <c r="BD8" s="128">
        <f>AF8*22%</f>
        <v>951.97</v>
      </c>
      <c r="BE8" s="129"/>
    </row>
    <row r="9" spans="1:57" ht="74.25" customHeight="1">
      <c r="A9" s="114">
        <v>4</v>
      </c>
      <c r="B9" s="107" t="s">
        <v>37</v>
      </c>
      <c r="C9" s="101">
        <v>1</v>
      </c>
      <c r="D9" s="108" t="s">
        <v>92</v>
      </c>
      <c r="E9" s="115">
        <v>11</v>
      </c>
      <c r="F9" s="115">
        <v>88</v>
      </c>
      <c r="G9" s="116">
        <v>1723</v>
      </c>
      <c r="H9" s="117">
        <f>G9/21*E9</f>
        <v>902.52</v>
      </c>
      <c r="I9" s="118">
        <f>55</f>
        <v>55</v>
      </c>
      <c r="J9" s="118">
        <f>H9+I9</f>
        <v>957.52</v>
      </c>
      <c r="K9" s="119">
        <v>0.25</v>
      </c>
      <c r="L9" s="116">
        <f>J9*K9</f>
        <v>239.38</v>
      </c>
      <c r="M9" s="116">
        <f>J9+L9</f>
        <v>1196.9</v>
      </c>
      <c r="N9" s="116"/>
      <c r="O9" s="116"/>
      <c r="P9" s="116"/>
      <c r="Q9" s="120"/>
      <c r="R9" s="119">
        <v>1</v>
      </c>
      <c r="S9" s="116">
        <f>H9*R9</f>
        <v>902.52</v>
      </c>
      <c r="T9" s="118"/>
      <c r="U9" s="118"/>
      <c r="V9" s="118">
        <f t="shared" si="0"/>
        <v>31.14</v>
      </c>
      <c r="W9" s="111"/>
      <c r="X9" s="118"/>
      <c r="Y9" s="121"/>
      <c r="Z9" s="116"/>
      <c r="AA9" s="121">
        <v>12</v>
      </c>
      <c r="AB9" s="116">
        <v>1496.79</v>
      </c>
      <c r="AC9" s="116"/>
      <c r="AD9" s="116">
        <v>3975.23</v>
      </c>
      <c r="AE9" s="116"/>
      <c r="AF9" s="122">
        <f>AB9+Z9+X9+V9+S9+Q9+O9+M9+T9+AC9+AE9+U9+AD9</f>
        <v>7602.58</v>
      </c>
      <c r="AG9" s="123"/>
      <c r="AH9" s="165">
        <f>AF9</f>
        <v>7602.58</v>
      </c>
      <c r="AI9" s="118">
        <f>AF9-AH9</f>
        <v>0</v>
      </c>
      <c r="AJ9" s="116"/>
      <c r="AK9" s="116">
        <f>AH9*18%</f>
        <v>1368.46</v>
      </c>
      <c r="AL9" s="116">
        <f>(AF9-AJ9)*18%-AK9</f>
        <v>0</v>
      </c>
      <c r="AM9" s="116"/>
      <c r="AN9" s="125">
        <f>SUM(AK9:AM9)</f>
        <v>1368.46</v>
      </c>
      <c r="AO9" s="116">
        <f>AH9*1.5%</f>
        <v>114.04</v>
      </c>
      <c r="AP9" s="116">
        <f>AF9*1.5%-AO9</f>
        <v>0</v>
      </c>
      <c r="AQ9" s="125">
        <f>AO9+AP9</f>
        <v>114.04</v>
      </c>
      <c r="AR9" s="116">
        <f>AH9*1%</f>
        <v>76.03</v>
      </c>
      <c r="AS9" s="116"/>
      <c r="AT9" s="116">
        <f>AK9+AO9+AR9</f>
        <v>1558.53</v>
      </c>
      <c r="AU9" s="116">
        <f>AL9+AM9+AP9+AS9</f>
        <v>0</v>
      </c>
      <c r="AV9" s="125">
        <f>AN9+AQ9+AR9</f>
        <v>1558.53</v>
      </c>
      <c r="AW9" s="124">
        <f>AH9-(AK9+AO9+AR9)</f>
        <v>6044.05</v>
      </c>
      <c r="AX9" s="124">
        <f>AF9-(AV9+AW9)</f>
        <v>0</v>
      </c>
      <c r="AY9" s="126">
        <f>SUM(AW9:AX9)</f>
        <v>6044.05</v>
      </c>
      <c r="AZ9" s="127"/>
      <c r="BA9" s="124"/>
      <c r="BB9" s="126">
        <f t="shared" si="1"/>
        <v>0</v>
      </c>
      <c r="BC9" s="126">
        <f>AY9+BB9</f>
        <v>6044.05</v>
      </c>
      <c r="BD9" s="128">
        <f>AF9*22%</f>
        <v>1672.57</v>
      </c>
      <c r="BE9" s="129"/>
    </row>
    <row r="10" spans="1:57" ht="74.25" customHeight="1">
      <c r="A10" s="130"/>
      <c r="B10" s="131" t="s">
        <v>39</v>
      </c>
      <c r="C10" s="132">
        <f>SUM(C6:C9)</f>
        <v>4</v>
      </c>
      <c r="D10" s="132"/>
      <c r="E10" s="115"/>
      <c r="F10" s="149">
        <f>SUM(F6:F9)</f>
        <v>512</v>
      </c>
      <c r="G10" s="133">
        <f>SUM(G6:G9)</f>
        <v>9030</v>
      </c>
      <c r="H10" s="133">
        <f>SUM(H6:H9)</f>
        <v>7039.52</v>
      </c>
      <c r="I10" s="133">
        <f>SUM(I6:I9)</f>
        <v>290</v>
      </c>
      <c r="J10" s="133">
        <f>SUM(J6:J9)</f>
        <v>7329.52</v>
      </c>
      <c r="K10" s="133"/>
      <c r="L10" s="133">
        <f>SUM(L6:L9)</f>
        <v>1056.88</v>
      </c>
      <c r="M10" s="133">
        <f>SUM(M6:M9)</f>
        <v>8386.4</v>
      </c>
      <c r="N10" s="133"/>
      <c r="O10" s="133">
        <f>SUM(O6:O9)</f>
        <v>0</v>
      </c>
      <c r="P10" s="133">
        <f>SUM(P6:P9)</f>
        <v>0</v>
      </c>
      <c r="Q10" s="133">
        <f>SUM(Q6:Q9)</f>
        <v>0</v>
      </c>
      <c r="R10" s="133"/>
      <c r="S10" s="133">
        <f aca="true" t="shared" si="2" ref="S10:BD10">SUM(S6:S9)</f>
        <v>7039.52</v>
      </c>
      <c r="T10" s="133">
        <f t="shared" si="2"/>
        <v>0</v>
      </c>
      <c r="U10" s="133">
        <f t="shared" si="2"/>
        <v>0</v>
      </c>
      <c r="V10" s="133">
        <f t="shared" si="2"/>
        <v>181.18</v>
      </c>
      <c r="W10" s="133">
        <f t="shared" si="2"/>
        <v>0</v>
      </c>
      <c r="X10" s="133">
        <f t="shared" si="2"/>
        <v>0</v>
      </c>
      <c r="Y10" s="133">
        <f t="shared" si="2"/>
        <v>0</v>
      </c>
      <c r="Z10" s="133">
        <f t="shared" si="2"/>
        <v>0</v>
      </c>
      <c r="AA10" s="133">
        <f t="shared" si="2"/>
        <v>24</v>
      </c>
      <c r="AB10" s="133">
        <f t="shared" si="2"/>
        <v>3745.64</v>
      </c>
      <c r="AC10" s="133">
        <f t="shared" si="2"/>
        <v>0</v>
      </c>
      <c r="AD10" s="133">
        <f t="shared" si="2"/>
        <v>10027.76</v>
      </c>
      <c r="AE10" s="133">
        <f t="shared" si="2"/>
        <v>500</v>
      </c>
      <c r="AF10" s="133">
        <f t="shared" si="2"/>
        <v>29880.5</v>
      </c>
      <c r="AG10" s="133">
        <f t="shared" si="2"/>
        <v>22</v>
      </c>
      <c r="AH10" s="166">
        <f t="shared" si="2"/>
        <v>21690.37</v>
      </c>
      <c r="AI10" s="133">
        <f t="shared" si="2"/>
        <v>8190.13</v>
      </c>
      <c r="AJ10" s="133">
        <f t="shared" si="2"/>
        <v>0</v>
      </c>
      <c r="AK10" s="133">
        <f t="shared" si="2"/>
        <v>3904.26</v>
      </c>
      <c r="AL10" s="133">
        <f t="shared" si="2"/>
        <v>1474.23</v>
      </c>
      <c r="AM10" s="133">
        <f t="shared" si="2"/>
        <v>0</v>
      </c>
      <c r="AN10" s="133">
        <f t="shared" si="2"/>
        <v>5378.49</v>
      </c>
      <c r="AO10" s="133">
        <f t="shared" si="2"/>
        <v>325.36</v>
      </c>
      <c r="AP10" s="133">
        <f t="shared" si="2"/>
        <v>122.85</v>
      </c>
      <c r="AQ10" s="133">
        <f t="shared" si="2"/>
        <v>448.21</v>
      </c>
      <c r="AR10" s="133">
        <f t="shared" si="2"/>
        <v>191.5</v>
      </c>
      <c r="AS10" s="133">
        <f t="shared" si="2"/>
        <v>107.3</v>
      </c>
      <c r="AT10" s="133">
        <f t="shared" si="2"/>
        <v>4421.12</v>
      </c>
      <c r="AU10" s="133">
        <f t="shared" si="2"/>
        <v>1704.38</v>
      </c>
      <c r="AV10" s="133">
        <f t="shared" si="2"/>
        <v>6125.5</v>
      </c>
      <c r="AW10" s="133">
        <f t="shared" si="2"/>
        <v>17269.25</v>
      </c>
      <c r="AX10" s="133">
        <f t="shared" si="2"/>
        <v>6485.75</v>
      </c>
      <c r="AY10" s="133">
        <f t="shared" si="2"/>
        <v>23755</v>
      </c>
      <c r="AZ10" s="133">
        <f t="shared" si="2"/>
        <v>0</v>
      </c>
      <c r="BA10" s="133">
        <f t="shared" si="2"/>
        <v>0</v>
      </c>
      <c r="BB10" s="133">
        <f t="shared" si="2"/>
        <v>0</v>
      </c>
      <c r="BC10" s="133">
        <f t="shared" si="2"/>
        <v>23755</v>
      </c>
      <c r="BD10" s="133">
        <f t="shared" si="2"/>
        <v>6573.71</v>
      </c>
      <c r="BE10" s="129"/>
    </row>
    <row r="11" spans="1:57" s="143" customFormat="1" ht="74.25" customHeight="1">
      <c r="A11" s="136">
        <v>6</v>
      </c>
      <c r="B11" s="164" t="s">
        <v>61</v>
      </c>
      <c r="C11" s="164">
        <v>1</v>
      </c>
      <c r="D11" s="164" t="s">
        <v>44</v>
      </c>
      <c r="E11" s="115">
        <v>21</v>
      </c>
      <c r="F11" s="115">
        <v>168</v>
      </c>
      <c r="G11" s="138">
        <v>1723</v>
      </c>
      <c r="H11" s="117">
        <f aca="true" t="shared" si="3" ref="H11:H17">G11/21*E11</f>
        <v>1723</v>
      </c>
      <c r="I11" s="138"/>
      <c r="J11" s="118">
        <f aca="true" t="shared" si="4" ref="J11:J17">H11+I11</f>
        <v>1723</v>
      </c>
      <c r="K11" s="138"/>
      <c r="L11" s="138"/>
      <c r="M11" s="116">
        <f aca="true" t="shared" si="5" ref="M11:M18">J11+L11</f>
        <v>1723</v>
      </c>
      <c r="N11" s="139">
        <v>0.5</v>
      </c>
      <c r="O11" s="116">
        <f>M11*N11</f>
        <v>861.5</v>
      </c>
      <c r="P11" s="138"/>
      <c r="Q11" s="120"/>
      <c r="R11" s="119">
        <v>0.35</v>
      </c>
      <c r="S11" s="116">
        <f aca="true" t="shared" si="6" ref="S11:S18">H11*R11</f>
        <v>603.05</v>
      </c>
      <c r="T11" s="138"/>
      <c r="U11" s="138"/>
      <c r="V11" s="118">
        <f t="shared" si="0"/>
        <v>59.45</v>
      </c>
      <c r="W11" s="140"/>
      <c r="X11" s="138"/>
      <c r="Y11" s="140"/>
      <c r="Z11" s="138"/>
      <c r="AA11" s="138"/>
      <c r="AB11" s="138"/>
      <c r="AC11" s="138"/>
      <c r="AD11" s="138"/>
      <c r="AE11" s="138"/>
      <c r="AF11" s="122">
        <f aca="true" t="shared" si="7" ref="AF11:AF18">AB11+Z11+X11+V11+S11+Q11+O11+M11+T11+AC11+AE11+U11+AD11</f>
        <v>3247</v>
      </c>
      <c r="AG11" s="123">
        <v>11</v>
      </c>
      <c r="AH11" s="165">
        <f>G11/E11*AG11</f>
        <v>902.52</v>
      </c>
      <c r="AI11" s="118">
        <f>AF11-AH11</f>
        <v>2344.48</v>
      </c>
      <c r="AJ11" s="138"/>
      <c r="AK11" s="116">
        <f>AH11*18%</f>
        <v>162.45</v>
      </c>
      <c r="AL11" s="116">
        <f>(AF11-AJ11)*18%-AK11</f>
        <v>422.01</v>
      </c>
      <c r="AM11" s="138"/>
      <c r="AN11" s="125">
        <f>SUM(AK11:AM11)</f>
        <v>584.46</v>
      </c>
      <c r="AO11" s="116">
        <f>AH11*1.5%</f>
        <v>13.54</v>
      </c>
      <c r="AP11" s="116">
        <f>AF11*1.5%-AO11</f>
        <v>35.17</v>
      </c>
      <c r="AQ11" s="125">
        <f>AO11+AP11</f>
        <v>48.71</v>
      </c>
      <c r="AR11" s="125"/>
      <c r="AS11" s="116">
        <f>AF11*1%</f>
        <v>32.47</v>
      </c>
      <c r="AT11" s="116">
        <f>AK11+AO11</f>
        <v>175.99</v>
      </c>
      <c r="AU11" s="116">
        <f>AL11+AM11+AP11+AS11</f>
        <v>489.65</v>
      </c>
      <c r="AV11" s="125">
        <f>AN11+AQ11+AS11</f>
        <v>665.64</v>
      </c>
      <c r="AW11" s="124">
        <f>AH11-(AK11+AO11)</f>
        <v>726.53</v>
      </c>
      <c r="AX11" s="124">
        <f>AF11-(AV11+AW11)</f>
        <v>1854.83</v>
      </c>
      <c r="AY11" s="126">
        <f aca="true" t="shared" si="8" ref="AY11:AY18">SUM(AW11:AX11)</f>
        <v>2581.36</v>
      </c>
      <c r="AZ11" s="141"/>
      <c r="BA11" s="138"/>
      <c r="BB11" s="126">
        <f t="shared" si="1"/>
        <v>0</v>
      </c>
      <c r="BC11" s="126">
        <f>AY11+BB11</f>
        <v>2581.36</v>
      </c>
      <c r="BD11" s="128">
        <f>AF11*22%</f>
        <v>714.34</v>
      </c>
      <c r="BE11" s="142"/>
    </row>
    <row r="12" spans="1:57" ht="74.25" customHeight="1">
      <c r="A12" s="114">
        <v>7</v>
      </c>
      <c r="B12" s="101" t="s">
        <v>41</v>
      </c>
      <c r="C12" s="101">
        <v>1</v>
      </c>
      <c r="D12" s="144" t="s">
        <v>94</v>
      </c>
      <c r="E12" s="115">
        <v>3</v>
      </c>
      <c r="F12" s="115">
        <v>24</v>
      </c>
      <c r="G12" s="138">
        <v>1723</v>
      </c>
      <c r="H12" s="117">
        <f t="shared" si="3"/>
        <v>246.14</v>
      </c>
      <c r="I12" s="118"/>
      <c r="J12" s="118">
        <f t="shared" si="4"/>
        <v>246.14</v>
      </c>
      <c r="K12" s="119">
        <v>0.4</v>
      </c>
      <c r="L12" s="116">
        <f>J12*K12</f>
        <v>98.46</v>
      </c>
      <c r="M12" s="116">
        <f t="shared" si="5"/>
        <v>344.6</v>
      </c>
      <c r="N12" s="139">
        <v>0.45</v>
      </c>
      <c r="O12" s="116">
        <f>M12*N12</f>
        <v>155.07</v>
      </c>
      <c r="P12" s="145"/>
      <c r="Q12" s="120"/>
      <c r="R12" s="119"/>
      <c r="S12" s="116">
        <f t="shared" si="6"/>
        <v>0</v>
      </c>
      <c r="T12" s="118"/>
      <c r="U12" s="118"/>
      <c r="V12" s="118">
        <f t="shared" si="0"/>
        <v>8.49</v>
      </c>
      <c r="W12" s="111"/>
      <c r="X12" s="118"/>
      <c r="Y12" s="121"/>
      <c r="Z12" s="116"/>
      <c r="AA12" s="121">
        <v>24</v>
      </c>
      <c r="AB12" s="116">
        <v>2547.27</v>
      </c>
      <c r="AC12" s="124"/>
      <c r="AD12" s="116">
        <v>1723</v>
      </c>
      <c r="AE12" s="124"/>
      <c r="AF12" s="122">
        <f t="shared" si="7"/>
        <v>4778.43</v>
      </c>
      <c r="AG12" s="123"/>
      <c r="AH12" s="165">
        <f>AF12</f>
        <v>4778.43</v>
      </c>
      <c r="AI12" s="118">
        <f aca="true" t="shared" si="9" ref="AI12:AI18">AF12-AH12</f>
        <v>0</v>
      </c>
      <c r="AJ12" s="116"/>
      <c r="AK12" s="116">
        <f aca="true" t="shared" si="10" ref="AK12:AK18">AH12*18%</f>
        <v>860.12</v>
      </c>
      <c r="AL12" s="116">
        <f aca="true" t="shared" si="11" ref="AL12:AL17">(AF12-AJ12)*18%-AK12</f>
        <v>0</v>
      </c>
      <c r="AM12" s="116"/>
      <c r="AN12" s="125">
        <f aca="true" t="shared" si="12" ref="AN12:AN18">SUM(AK12:AM12)</f>
        <v>860.12</v>
      </c>
      <c r="AO12" s="116">
        <f aca="true" t="shared" si="13" ref="AO12:AO18">AH12*1.5%</f>
        <v>71.68</v>
      </c>
      <c r="AP12" s="116">
        <f aca="true" t="shared" si="14" ref="AP12:AP18">AF12*1.5%-AO12</f>
        <v>0</v>
      </c>
      <c r="AQ12" s="125">
        <f aca="true" t="shared" si="15" ref="AQ12:AQ18">AO12+AP12</f>
        <v>71.68</v>
      </c>
      <c r="AR12" s="116">
        <f>AH12*1%</f>
        <v>47.78</v>
      </c>
      <c r="AS12" s="116"/>
      <c r="AT12" s="116">
        <f>AK12+AO12</f>
        <v>931.8</v>
      </c>
      <c r="AU12" s="116">
        <f aca="true" t="shared" si="16" ref="AU12:AU18">AL12+AM12+AP12+AS12</f>
        <v>0</v>
      </c>
      <c r="AV12" s="125">
        <f>AN12+AQ12+AR12</f>
        <v>979.58</v>
      </c>
      <c r="AW12" s="124"/>
      <c r="AX12" s="124">
        <v>0</v>
      </c>
      <c r="AY12" s="126">
        <f>SUM(AW12:AX12)</f>
        <v>0</v>
      </c>
      <c r="AZ12" s="141">
        <f>AF12-AV12</f>
        <v>3798.85</v>
      </c>
      <c r="BA12" s="124"/>
      <c r="BB12" s="126">
        <f>SUM(AZ12:BA12)</f>
        <v>3798.85</v>
      </c>
      <c r="BC12" s="126">
        <f aca="true" t="shared" si="17" ref="BC12:BC18">AY12+BB12</f>
        <v>3798.85</v>
      </c>
      <c r="BD12" s="128">
        <f aca="true" t="shared" si="18" ref="BD12:BD18">AF12*22%</f>
        <v>1051.25</v>
      </c>
      <c r="BE12" s="129"/>
    </row>
    <row r="13" spans="1:57" ht="74.25" customHeight="1">
      <c r="A13" s="136">
        <v>8</v>
      </c>
      <c r="B13" s="101" t="s">
        <v>74</v>
      </c>
      <c r="C13" s="108">
        <v>1</v>
      </c>
      <c r="D13" s="146" t="s">
        <v>50</v>
      </c>
      <c r="E13" s="115">
        <v>9</v>
      </c>
      <c r="F13" s="115">
        <v>72</v>
      </c>
      <c r="G13" s="138">
        <v>1723</v>
      </c>
      <c r="H13" s="117">
        <f t="shared" si="3"/>
        <v>738.43</v>
      </c>
      <c r="I13" s="118"/>
      <c r="J13" s="118">
        <f t="shared" si="4"/>
        <v>738.43</v>
      </c>
      <c r="K13" s="119"/>
      <c r="L13" s="116"/>
      <c r="M13" s="116">
        <f t="shared" si="5"/>
        <v>738.43</v>
      </c>
      <c r="N13" s="139">
        <v>0.5</v>
      </c>
      <c r="O13" s="116">
        <f>M13*N13</f>
        <v>369.22</v>
      </c>
      <c r="P13" s="145"/>
      <c r="Q13" s="120"/>
      <c r="R13" s="119">
        <v>0.35</v>
      </c>
      <c r="S13" s="116">
        <f t="shared" si="6"/>
        <v>258.45</v>
      </c>
      <c r="T13" s="118"/>
      <c r="U13" s="118"/>
      <c r="V13" s="118">
        <f>50.75/21*E13</f>
        <v>21.75</v>
      </c>
      <c r="W13" s="111"/>
      <c r="X13" s="118"/>
      <c r="Y13" s="121"/>
      <c r="Z13" s="116"/>
      <c r="AA13" s="121"/>
      <c r="AB13" s="116"/>
      <c r="AC13" s="116"/>
      <c r="AD13" s="116"/>
      <c r="AE13" s="124"/>
      <c r="AF13" s="122">
        <f t="shared" si="7"/>
        <v>1387.85</v>
      </c>
      <c r="AG13" s="123">
        <v>1</v>
      </c>
      <c r="AH13" s="165">
        <f>G13/21*AG13</f>
        <v>82.05</v>
      </c>
      <c r="AI13" s="118">
        <f t="shared" si="9"/>
        <v>1305.8</v>
      </c>
      <c r="AJ13" s="116"/>
      <c r="AK13" s="116">
        <f t="shared" si="10"/>
        <v>14.77</v>
      </c>
      <c r="AL13" s="116">
        <f t="shared" si="11"/>
        <v>235.04</v>
      </c>
      <c r="AM13" s="116"/>
      <c r="AN13" s="125">
        <f t="shared" si="12"/>
        <v>249.81</v>
      </c>
      <c r="AO13" s="116">
        <f t="shared" si="13"/>
        <v>1.23</v>
      </c>
      <c r="AP13" s="116">
        <f t="shared" si="14"/>
        <v>19.59</v>
      </c>
      <c r="AQ13" s="125">
        <f t="shared" si="15"/>
        <v>20.82</v>
      </c>
      <c r="AR13" s="125"/>
      <c r="AS13" s="116">
        <f>AF13*1%</f>
        <v>13.88</v>
      </c>
      <c r="AT13" s="116">
        <f>AK13+AO13</f>
        <v>16</v>
      </c>
      <c r="AU13" s="116">
        <f t="shared" si="16"/>
        <v>268.51</v>
      </c>
      <c r="AV13" s="125">
        <f>AN13+AQ13+AS13</f>
        <v>284.51</v>
      </c>
      <c r="AW13" s="124">
        <f aca="true" t="shared" si="19" ref="AW13:AW18">AH13-(AK13+AO13)</f>
        <v>66.05</v>
      </c>
      <c r="AX13" s="138">
        <f aca="true" t="shared" si="20" ref="AX13:AX18">AF13-(AV13+AW13)</f>
        <v>1037.29</v>
      </c>
      <c r="AY13" s="126">
        <f t="shared" si="8"/>
        <v>1103.34</v>
      </c>
      <c r="AZ13" s="127"/>
      <c r="BA13" s="124"/>
      <c r="BB13" s="126">
        <f t="shared" si="1"/>
        <v>0</v>
      </c>
      <c r="BC13" s="126">
        <f t="shared" si="17"/>
        <v>1103.34</v>
      </c>
      <c r="BD13" s="128">
        <f t="shared" si="18"/>
        <v>305.33</v>
      </c>
      <c r="BE13" s="129"/>
    </row>
    <row r="14" spans="1:57" ht="74.25" customHeight="1">
      <c r="A14" s="114">
        <v>9</v>
      </c>
      <c r="B14" s="101" t="s">
        <v>43</v>
      </c>
      <c r="C14" s="101">
        <v>1</v>
      </c>
      <c r="D14" s="101" t="s">
        <v>44</v>
      </c>
      <c r="E14" s="115">
        <v>21</v>
      </c>
      <c r="F14" s="115">
        <v>168</v>
      </c>
      <c r="G14" s="138">
        <v>1723</v>
      </c>
      <c r="H14" s="117">
        <f t="shared" si="3"/>
        <v>1723</v>
      </c>
      <c r="I14" s="118"/>
      <c r="J14" s="118">
        <f t="shared" si="4"/>
        <v>1723</v>
      </c>
      <c r="K14" s="119">
        <v>0.25</v>
      </c>
      <c r="L14" s="116">
        <f>J14*K14</f>
        <v>430.75</v>
      </c>
      <c r="M14" s="116">
        <f t="shared" si="5"/>
        <v>2153.75</v>
      </c>
      <c r="N14" s="139">
        <v>0.5</v>
      </c>
      <c r="O14" s="116">
        <f>M14*N14</f>
        <v>1076.88</v>
      </c>
      <c r="P14" s="116"/>
      <c r="Q14" s="120"/>
      <c r="R14" s="119">
        <v>0.1</v>
      </c>
      <c r="S14" s="116">
        <f t="shared" si="6"/>
        <v>172.3</v>
      </c>
      <c r="T14" s="118"/>
      <c r="U14" s="118"/>
      <c r="V14" s="118">
        <f t="shared" si="0"/>
        <v>59.45</v>
      </c>
      <c r="W14" s="111"/>
      <c r="X14" s="118"/>
      <c r="Y14" s="121"/>
      <c r="Z14" s="116"/>
      <c r="AA14" s="121"/>
      <c r="AB14" s="116"/>
      <c r="AC14" s="116"/>
      <c r="AD14" s="116"/>
      <c r="AE14" s="124"/>
      <c r="AF14" s="122">
        <f t="shared" si="7"/>
        <v>3462.38</v>
      </c>
      <c r="AG14" s="123">
        <v>11</v>
      </c>
      <c r="AH14" s="165">
        <f>G14/E14*AG14</f>
        <v>902.52</v>
      </c>
      <c r="AI14" s="118">
        <f t="shared" si="9"/>
        <v>2559.86</v>
      </c>
      <c r="AJ14" s="116"/>
      <c r="AK14" s="116">
        <f t="shared" si="10"/>
        <v>162.45</v>
      </c>
      <c r="AL14" s="116">
        <f t="shared" si="11"/>
        <v>460.78</v>
      </c>
      <c r="AM14" s="116"/>
      <c r="AN14" s="125">
        <f t="shared" si="12"/>
        <v>623.23</v>
      </c>
      <c r="AO14" s="116">
        <f t="shared" si="13"/>
        <v>13.54</v>
      </c>
      <c r="AP14" s="116">
        <f t="shared" si="14"/>
        <v>38.4</v>
      </c>
      <c r="AQ14" s="125">
        <f t="shared" si="15"/>
        <v>51.94</v>
      </c>
      <c r="AR14" s="147"/>
      <c r="AS14" s="116">
        <f>AF14*1%</f>
        <v>34.62</v>
      </c>
      <c r="AT14" s="138">
        <f>AK14+AO14</f>
        <v>175.99</v>
      </c>
      <c r="AU14" s="116">
        <f>AL14+AM14+AP14+AS14+AR14</f>
        <v>533.8</v>
      </c>
      <c r="AV14" s="125">
        <f>AN14+AQ14+AS14+AR14</f>
        <v>709.79</v>
      </c>
      <c r="AW14" s="124">
        <f t="shared" si="19"/>
        <v>726.53</v>
      </c>
      <c r="AX14" s="124">
        <f t="shared" si="20"/>
        <v>2026.06</v>
      </c>
      <c r="AY14" s="126">
        <f t="shared" si="8"/>
        <v>2752.59</v>
      </c>
      <c r="AZ14" s="127"/>
      <c r="BA14" s="124"/>
      <c r="BB14" s="126">
        <f t="shared" si="1"/>
        <v>0</v>
      </c>
      <c r="BC14" s="126">
        <f t="shared" si="17"/>
        <v>2752.59</v>
      </c>
      <c r="BD14" s="128">
        <f t="shared" si="18"/>
        <v>761.72</v>
      </c>
      <c r="BE14" s="129"/>
    </row>
    <row r="15" spans="1:57" ht="74.25" customHeight="1">
      <c r="A15" s="136">
        <v>10</v>
      </c>
      <c r="B15" s="101" t="s">
        <v>87</v>
      </c>
      <c r="C15" s="101">
        <v>1</v>
      </c>
      <c r="D15" s="101" t="s">
        <v>88</v>
      </c>
      <c r="E15" s="115">
        <v>21</v>
      </c>
      <c r="F15" s="115" t="s">
        <v>113</v>
      </c>
      <c r="G15" s="138">
        <v>1723</v>
      </c>
      <c r="H15" s="117">
        <f t="shared" si="3"/>
        <v>1723</v>
      </c>
      <c r="I15" s="118"/>
      <c r="J15" s="118">
        <f t="shared" si="4"/>
        <v>1723</v>
      </c>
      <c r="K15" s="119"/>
      <c r="L15" s="116"/>
      <c r="M15" s="116">
        <f t="shared" si="5"/>
        <v>1723</v>
      </c>
      <c r="N15" s="139">
        <v>0.5</v>
      </c>
      <c r="O15" s="116">
        <f>M15*N15</f>
        <v>861.5</v>
      </c>
      <c r="P15" s="116"/>
      <c r="Q15" s="120"/>
      <c r="R15" s="139">
        <v>0.5</v>
      </c>
      <c r="S15" s="116">
        <f t="shared" si="6"/>
        <v>861.5</v>
      </c>
      <c r="T15" s="138">
        <v>493.69</v>
      </c>
      <c r="U15" s="118"/>
      <c r="V15" s="118"/>
      <c r="W15" s="111"/>
      <c r="X15" s="118"/>
      <c r="Y15" s="121"/>
      <c r="Z15" s="116"/>
      <c r="AA15" s="121"/>
      <c r="AB15" s="116"/>
      <c r="AC15" s="116"/>
      <c r="AD15" s="116"/>
      <c r="AE15" s="124"/>
      <c r="AF15" s="122">
        <f t="shared" si="7"/>
        <v>3939.69</v>
      </c>
      <c r="AG15" s="123">
        <v>11</v>
      </c>
      <c r="AH15" s="165">
        <v>1300</v>
      </c>
      <c r="AI15" s="118">
        <f t="shared" si="9"/>
        <v>2639.69</v>
      </c>
      <c r="AJ15" s="138"/>
      <c r="AK15" s="116">
        <f t="shared" si="10"/>
        <v>234</v>
      </c>
      <c r="AL15" s="116">
        <f t="shared" si="11"/>
        <v>475.14</v>
      </c>
      <c r="AM15" s="116"/>
      <c r="AN15" s="125">
        <f t="shared" si="12"/>
        <v>709.14</v>
      </c>
      <c r="AO15" s="116">
        <f t="shared" si="13"/>
        <v>19.5</v>
      </c>
      <c r="AP15" s="116">
        <f t="shared" si="14"/>
        <v>39.6</v>
      </c>
      <c r="AQ15" s="125">
        <f t="shared" si="15"/>
        <v>59.1</v>
      </c>
      <c r="AR15" s="125"/>
      <c r="AS15" s="116">
        <f>AF15*1%</f>
        <v>39.4</v>
      </c>
      <c r="AT15" s="116">
        <f>AK15+AO15</f>
        <v>253.5</v>
      </c>
      <c r="AU15" s="116">
        <f t="shared" si="16"/>
        <v>554.14</v>
      </c>
      <c r="AV15" s="125">
        <f>AN15+AQ15+AS15</f>
        <v>807.64</v>
      </c>
      <c r="AW15" s="124">
        <f t="shared" si="19"/>
        <v>1046.5</v>
      </c>
      <c r="AX15" s="124">
        <f t="shared" si="20"/>
        <v>2085.55</v>
      </c>
      <c r="AY15" s="126">
        <f t="shared" si="8"/>
        <v>3132.05</v>
      </c>
      <c r="AZ15" s="127"/>
      <c r="BA15" s="124"/>
      <c r="BB15" s="126">
        <f t="shared" si="1"/>
        <v>0</v>
      </c>
      <c r="BC15" s="126">
        <f t="shared" si="17"/>
        <v>3132.05</v>
      </c>
      <c r="BD15" s="128">
        <f t="shared" si="18"/>
        <v>866.73</v>
      </c>
      <c r="BE15" s="129"/>
    </row>
    <row r="16" spans="1:57" ht="74.25" customHeight="1">
      <c r="A16" s="136">
        <v>12</v>
      </c>
      <c r="B16" s="101" t="s">
        <v>97</v>
      </c>
      <c r="C16" s="101">
        <v>0.5</v>
      </c>
      <c r="D16" s="101" t="s">
        <v>102</v>
      </c>
      <c r="E16" s="115">
        <v>8</v>
      </c>
      <c r="F16" s="115">
        <v>32</v>
      </c>
      <c r="G16" s="116">
        <v>725</v>
      </c>
      <c r="H16" s="117">
        <f t="shared" si="3"/>
        <v>276.19</v>
      </c>
      <c r="I16" s="118"/>
      <c r="J16" s="118">
        <f>H16+I16</f>
        <v>276.19</v>
      </c>
      <c r="K16" s="119"/>
      <c r="L16" s="116"/>
      <c r="M16" s="116">
        <f>J16+L16</f>
        <v>276.19</v>
      </c>
      <c r="N16" s="145"/>
      <c r="O16" s="116"/>
      <c r="P16" s="119">
        <v>0.1</v>
      </c>
      <c r="Q16" s="120">
        <f>J16*P16</f>
        <v>27.62</v>
      </c>
      <c r="R16" s="119"/>
      <c r="S16" s="116">
        <f t="shared" si="6"/>
        <v>0</v>
      </c>
      <c r="T16" s="118"/>
      <c r="U16" s="118">
        <v>1450</v>
      </c>
      <c r="V16" s="118"/>
      <c r="W16" s="111"/>
      <c r="X16" s="118"/>
      <c r="Y16" s="121"/>
      <c r="Z16" s="116"/>
      <c r="AA16" s="121"/>
      <c r="AB16" s="116"/>
      <c r="AC16" s="116"/>
      <c r="AD16" s="116"/>
      <c r="AE16" s="116"/>
      <c r="AF16" s="122">
        <f>AB16+Z16+X16+V16+S16+Q16+O16+M16+T16+AC16+AE16+U16+AD16</f>
        <v>1753.81</v>
      </c>
      <c r="AG16" s="123"/>
      <c r="AH16" s="165">
        <f>AF16</f>
        <v>1753.81</v>
      </c>
      <c r="AI16" s="118">
        <f t="shared" si="9"/>
        <v>0</v>
      </c>
      <c r="AJ16" s="138"/>
      <c r="AK16" s="116">
        <f t="shared" si="10"/>
        <v>315.69</v>
      </c>
      <c r="AL16" s="116">
        <f>(AF16-AJ16)*18%-AK16</f>
        <v>0</v>
      </c>
      <c r="AM16" s="116"/>
      <c r="AN16" s="125">
        <f t="shared" si="12"/>
        <v>315.69</v>
      </c>
      <c r="AO16" s="116">
        <f t="shared" si="13"/>
        <v>26.31</v>
      </c>
      <c r="AP16" s="116">
        <f t="shared" si="14"/>
        <v>0</v>
      </c>
      <c r="AQ16" s="125">
        <f t="shared" si="15"/>
        <v>26.31</v>
      </c>
      <c r="AR16" s="116">
        <f>AH16*1%</f>
        <v>17.54</v>
      </c>
      <c r="AS16" s="116"/>
      <c r="AT16" s="116">
        <f>AK16+AO16+AR16</f>
        <v>359.54</v>
      </c>
      <c r="AU16" s="116">
        <f t="shared" si="16"/>
        <v>0</v>
      </c>
      <c r="AV16" s="125">
        <f>AN16+AQ16+AR16</f>
        <v>359.54</v>
      </c>
      <c r="AW16" s="124">
        <f>AH16-(AK16+AO16+AR16)</f>
        <v>1394.27</v>
      </c>
      <c r="AX16" s="124">
        <f t="shared" si="20"/>
        <v>0</v>
      </c>
      <c r="AY16" s="126">
        <f t="shared" si="8"/>
        <v>1394.27</v>
      </c>
      <c r="AZ16" s="127"/>
      <c r="BA16" s="124"/>
      <c r="BB16" s="126">
        <f>SUM(AZ16:BA16)</f>
        <v>0</v>
      </c>
      <c r="BC16" s="126">
        <f t="shared" si="17"/>
        <v>1394.27</v>
      </c>
      <c r="BD16" s="128">
        <f t="shared" si="18"/>
        <v>385.84</v>
      </c>
      <c r="BE16" s="129"/>
    </row>
    <row r="17" spans="1:57" ht="74.25" customHeight="1">
      <c r="A17" s="114">
        <v>13</v>
      </c>
      <c r="B17" s="101" t="s">
        <v>108</v>
      </c>
      <c r="C17" s="101">
        <v>1</v>
      </c>
      <c r="D17" s="101" t="s">
        <v>95</v>
      </c>
      <c r="E17" s="115">
        <v>21</v>
      </c>
      <c r="F17" s="115">
        <v>168</v>
      </c>
      <c r="G17" s="116">
        <v>1450</v>
      </c>
      <c r="H17" s="117">
        <f t="shared" si="3"/>
        <v>1450</v>
      </c>
      <c r="I17" s="118"/>
      <c r="J17" s="118">
        <f t="shared" si="4"/>
        <v>1450</v>
      </c>
      <c r="K17" s="119"/>
      <c r="L17" s="116"/>
      <c r="M17" s="116">
        <f t="shared" si="5"/>
        <v>1450</v>
      </c>
      <c r="N17" s="116"/>
      <c r="O17" s="116"/>
      <c r="P17" s="145">
        <v>0.1</v>
      </c>
      <c r="Q17" s="120">
        <f>J17*P17</f>
        <v>145</v>
      </c>
      <c r="R17" s="139">
        <v>0.7</v>
      </c>
      <c r="S17" s="138">
        <f t="shared" si="6"/>
        <v>1015</v>
      </c>
      <c r="T17" s="118"/>
      <c r="U17" s="118"/>
      <c r="V17" s="118"/>
      <c r="W17" s="111"/>
      <c r="X17" s="118"/>
      <c r="Y17" s="121"/>
      <c r="Z17" s="116"/>
      <c r="AA17" s="121"/>
      <c r="AB17" s="116"/>
      <c r="AC17" s="116"/>
      <c r="AD17" s="116"/>
      <c r="AE17" s="116"/>
      <c r="AF17" s="122">
        <f t="shared" si="7"/>
        <v>2610</v>
      </c>
      <c r="AG17" s="123">
        <v>11</v>
      </c>
      <c r="AH17" s="165">
        <f>G17/E17*AG17</f>
        <v>759.52</v>
      </c>
      <c r="AI17" s="118">
        <f t="shared" si="9"/>
        <v>1850.48</v>
      </c>
      <c r="AJ17" s="138"/>
      <c r="AK17" s="116">
        <f t="shared" si="10"/>
        <v>136.71</v>
      </c>
      <c r="AL17" s="116">
        <f t="shared" si="11"/>
        <v>333.09</v>
      </c>
      <c r="AM17" s="116"/>
      <c r="AN17" s="125">
        <f>SUM(AK17:AM17)</f>
        <v>469.8</v>
      </c>
      <c r="AO17" s="116">
        <f t="shared" si="13"/>
        <v>11.39</v>
      </c>
      <c r="AP17" s="116">
        <f t="shared" si="14"/>
        <v>27.76</v>
      </c>
      <c r="AQ17" s="125">
        <f t="shared" si="15"/>
        <v>39.15</v>
      </c>
      <c r="AR17" s="125"/>
      <c r="AS17" s="116">
        <f>AF17*1%</f>
        <v>26.1</v>
      </c>
      <c r="AT17" s="116">
        <f>AK17+AO17</f>
        <v>148.1</v>
      </c>
      <c r="AU17" s="116">
        <f>AL17+AM17+AP17+AS17</f>
        <v>386.95</v>
      </c>
      <c r="AV17" s="125">
        <f>AN17+AQ17+AS17</f>
        <v>535.05</v>
      </c>
      <c r="AW17" s="124">
        <f>AH17-(AK17+AO17)</f>
        <v>611.42</v>
      </c>
      <c r="AX17" s="124">
        <f>AF17-(AV17+AW17)</f>
        <v>1463.53</v>
      </c>
      <c r="AY17" s="126">
        <f t="shared" si="8"/>
        <v>2074.95</v>
      </c>
      <c r="AZ17" s="127"/>
      <c r="BA17" s="124"/>
      <c r="BB17" s="126">
        <f t="shared" si="1"/>
        <v>0</v>
      </c>
      <c r="BC17" s="126">
        <f t="shared" si="17"/>
        <v>2074.95</v>
      </c>
      <c r="BD17" s="128">
        <f t="shared" si="18"/>
        <v>574.2</v>
      </c>
      <c r="BE17" s="129"/>
    </row>
    <row r="18" spans="1:57" ht="74.25" customHeight="1">
      <c r="A18" s="136">
        <v>14</v>
      </c>
      <c r="B18" s="101" t="s">
        <v>59</v>
      </c>
      <c r="C18" s="101">
        <v>1</v>
      </c>
      <c r="D18" s="101" t="s">
        <v>95</v>
      </c>
      <c r="E18" s="115">
        <v>14</v>
      </c>
      <c r="F18" s="115">
        <v>112</v>
      </c>
      <c r="G18" s="116">
        <v>1450</v>
      </c>
      <c r="H18" s="117">
        <f>G18/21*E18</f>
        <v>966.67</v>
      </c>
      <c r="I18" s="118"/>
      <c r="J18" s="118">
        <f>H18</f>
        <v>966.67</v>
      </c>
      <c r="K18" s="119"/>
      <c r="L18" s="116"/>
      <c r="M18" s="116">
        <f t="shared" si="5"/>
        <v>966.67</v>
      </c>
      <c r="N18" s="116"/>
      <c r="O18" s="116"/>
      <c r="P18" s="145">
        <v>0.1</v>
      </c>
      <c r="Q18" s="120">
        <f>J18*P18</f>
        <v>96.67</v>
      </c>
      <c r="R18" s="139">
        <v>0.7</v>
      </c>
      <c r="S18" s="138">
        <f t="shared" si="6"/>
        <v>676.67</v>
      </c>
      <c r="T18" s="118"/>
      <c r="U18" s="118"/>
      <c r="V18" s="118"/>
      <c r="W18" s="111"/>
      <c r="X18" s="118"/>
      <c r="Y18" s="121"/>
      <c r="Z18" s="116"/>
      <c r="AA18" s="121"/>
      <c r="AB18" s="116"/>
      <c r="AC18" s="116"/>
      <c r="AD18" s="116"/>
      <c r="AE18" s="116"/>
      <c r="AF18" s="122">
        <f t="shared" si="7"/>
        <v>1740.01</v>
      </c>
      <c r="AG18" s="123"/>
      <c r="AH18" s="165">
        <f>G18/E18*AG18</f>
        <v>0</v>
      </c>
      <c r="AI18" s="118">
        <f t="shared" si="9"/>
        <v>1740.01</v>
      </c>
      <c r="AJ18" s="117">
        <v>1033.5</v>
      </c>
      <c r="AK18" s="116">
        <f t="shared" si="10"/>
        <v>0</v>
      </c>
      <c r="AL18" s="116">
        <f>(AF18-AJ18)*18%-AK18</f>
        <v>127.17</v>
      </c>
      <c r="AM18" s="116"/>
      <c r="AN18" s="125">
        <f t="shared" si="12"/>
        <v>127.17</v>
      </c>
      <c r="AO18" s="116">
        <f t="shared" si="13"/>
        <v>0</v>
      </c>
      <c r="AP18" s="116">
        <f t="shared" si="14"/>
        <v>26.1</v>
      </c>
      <c r="AQ18" s="125">
        <f t="shared" si="15"/>
        <v>26.1</v>
      </c>
      <c r="AR18" s="125"/>
      <c r="AS18" s="116">
        <f>AF18*1%</f>
        <v>17.4</v>
      </c>
      <c r="AT18" s="116">
        <f>AK18+AO18</f>
        <v>0</v>
      </c>
      <c r="AU18" s="116">
        <f t="shared" si="16"/>
        <v>170.67</v>
      </c>
      <c r="AV18" s="125">
        <f>AN18+AQ18+AS18</f>
        <v>170.67</v>
      </c>
      <c r="AW18" s="124">
        <f t="shared" si="19"/>
        <v>0</v>
      </c>
      <c r="AX18" s="124">
        <f t="shared" si="20"/>
        <v>1569.34</v>
      </c>
      <c r="AY18" s="126">
        <f t="shared" si="8"/>
        <v>1569.34</v>
      </c>
      <c r="AZ18" s="127"/>
      <c r="BA18" s="124"/>
      <c r="BB18" s="126">
        <f t="shared" si="1"/>
        <v>0</v>
      </c>
      <c r="BC18" s="126">
        <f t="shared" si="17"/>
        <v>1569.34</v>
      </c>
      <c r="BD18" s="128">
        <f t="shared" si="18"/>
        <v>382.8</v>
      </c>
      <c r="BE18" s="129"/>
    </row>
    <row r="19" spans="1:57" ht="74.25" customHeight="1">
      <c r="A19" s="114"/>
      <c r="B19" s="148" t="s">
        <v>12</v>
      </c>
      <c r="C19" s="148">
        <f>SUM(C12:C18)</f>
        <v>6.5</v>
      </c>
      <c r="D19" s="148"/>
      <c r="E19" s="115"/>
      <c r="F19" s="149">
        <v>964</v>
      </c>
      <c r="G19" s="157">
        <f>SUM(G11:G18)</f>
        <v>12240</v>
      </c>
      <c r="H19" s="157">
        <f>SUM(H11:H18)</f>
        <v>8846.43</v>
      </c>
      <c r="I19" s="157">
        <f>SUM(I11:I18)</f>
        <v>0</v>
      </c>
      <c r="J19" s="157">
        <f>SUM(J11:J18)</f>
        <v>8846.43</v>
      </c>
      <c r="K19" s="157"/>
      <c r="L19" s="157">
        <f>SUM(L11:L18)</f>
        <v>529.21</v>
      </c>
      <c r="M19" s="157">
        <f>SUM(M11:M18)</f>
        <v>9375.64</v>
      </c>
      <c r="N19" s="157"/>
      <c r="O19" s="157">
        <f>SUM(O11:O18)</f>
        <v>3324.17</v>
      </c>
      <c r="P19" s="157"/>
      <c r="Q19" s="157">
        <f>SUM(Q11:Q18)</f>
        <v>269.29</v>
      </c>
      <c r="R19" s="157"/>
      <c r="S19" s="157">
        <f aca="true" t="shared" si="21" ref="S19:Z19">SUM(S11:S18)</f>
        <v>3586.97</v>
      </c>
      <c r="T19" s="157">
        <f t="shared" si="21"/>
        <v>493.69</v>
      </c>
      <c r="U19" s="157">
        <f t="shared" si="21"/>
        <v>1450</v>
      </c>
      <c r="V19" s="157">
        <f t="shared" si="21"/>
        <v>149.14</v>
      </c>
      <c r="W19" s="157">
        <f t="shared" si="21"/>
        <v>0</v>
      </c>
      <c r="X19" s="157">
        <f t="shared" si="21"/>
        <v>0</v>
      </c>
      <c r="Y19" s="157">
        <f t="shared" si="21"/>
        <v>0</v>
      </c>
      <c r="Z19" s="157">
        <f t="shared" si="21"/>
        <v>0</v>
      </c>
      <c r="AA19" s="159"/>
      <c r="AB19" s="157">
        <f>SUM(AB11:AB18)</f>
        <v>2547.27</v>
      </c>
      <c r="AC19" s="157">
        <f>SUM(AC11:AC18)</f>
        <v>0</v>
      </c>
      <c r="AD19" s="157">
        <f>SUM(AD11:AD18)</f>
        <v>1723</v>
      </c>
      <c r="AE19" s="157">
        <f>SUM(AE11:AE18)</f>
        <v>0</v>
      </c>
      <c r="AF19" s="157">
        <f>SUM(AF11:AF18)</f>
        <v>22919.17</v>
      </c>
      <c r="AG19" s="157"/>
      <c r="AH19" s="157">
        <f aca="true" t="shared" si="22" ref="AH19:BD19">SUM(AH11:AH18)</f>
        <v>10478.85</v>
      </c>
      <c r="AI19" s="157">
        <f t="shared" si="22"/>
        <v>12440.32</v>
      </c>
      <c r="AJ19" s="157">
        <f t="shared" si="22"/>
        <v>1033.5</v>
      </c>
      <c r="AK19" s="157">
        <f t="shared" si="22"/>
        <v>1886.19</v>
      </c>
      <c r="AL19" s="157">
        <f t="shared" si="22"/>
        <v>2053.23</v>
      </c>
      <c r="AM19" s="157">
        <f t="shared" si="22"/>
        <v>0</v>
      </c>
      <c r="AN19" s="157">
        <f t="shared" si="22"/>
        <v>3939.42</v>
      </c>
      <c r="AO19" s="157">
        <f t="shared" si="22"/>
        <v>157.19</v>
      </c>
      <c r="AP19" s="157">
        <f t="shared" si="22"/>
        <v>186.62</v>
      </c>
      <c r="AQ19" s="157">
        <f t="shared" si="22"/>
        <v>343.81</v>
      </c>
      <c r="AR19" s="157">
        <f t="shared" si="22"/>
        <v>65.32</v>
      </c>
      <c r="AS19" s="157">
        <f t="shared" si="22"/>
        <v>163.87</v>
      </c>
      <c r="AT19" s="157">
        <f t="shared" si="22"/>
        <v>2060.92</v>
      </c>
      <c r="AU19" s="157">
        <f t="shared" si="22"/>
        <v>2403.72</v>
      </c>
      <c r="AV19" s="157">
        <f t="shared" si="22"/>
        <v>4512.42</v>
      </c>
      <c r="AW19" s="157">
        <f t="shared" si="22"/>
        <v>4571.3</v>
      </c>
      <c r="AX19" s="157">
        <f t="shared" si="22"/>
        <v>10036.6</v>
      </c>
      <c r="AY19" s="157">
        <f t="shared" si="22"/>
        <v>14607.9</v>
      </c>
      <c r="AZ19" s="157">
        <f t="shared" si="22"/>
        <v>3798.85</v>
      </c>
      <c r="BA19" s="157">
        <f t="shared" si="22"/>
        <v>0</v>
      </c>
      <c r="BB19" s="157">
        <f t="shared" si="22"/>
        <v>3798.85</v>
      </c>
      <c r="BC19" s="157">
        <f t="shared" si="22"/>
        <v>18406.75</v>
      </c>
      <c r="BD19" s="157">
        <f t="shared" si="22"/>
        <v>5042.21</v>
      </c>
      <c r="BE19" s="129"/>
    </row>
    <row r="20" spans="1:57" ht="74.25" customHeight="1">
      <c r="A20" s="114"/>
      <c r="B20" s="148" t="s">
        <v>3</v>
      </c>
      <c r="C20" s="148">
        <f>C19+C10</f>
        <v>10.5</v>
      </c>
      <c r="D20" s="148"/>
      <c r="E20" s="149"/>
      <c r="F20" s="149">
        <f>F19+F10</f>
        <v>1476</v>
      </c>
      <c r="G20" s="126">
        <f>G19+G10</f>
        <v>21270</v>
      </c>
      <c r="H20" s="126">
        <f>H10+H19</f>
        <v>15885.95</v>
      </c>
      <c r="I20" s="134">
        <f>I19+I10</f>
        <v>290</v>
      </c>
      <c r="J20" s="134">
        <f>J19+J10</f>
        <v>16175.95</v>
      </c>
      <c r="K20" s="150"/>
      <c r="L20" s="134">
        <f>L19+L10</f>
        <v>1586.09</v>
      </c>
      <c r="M20" s="134">
        <f>M19+M10</f>
        <v>17762.04</v>
      </c>
      <c r="N20" s="134"/>
      <c r="O20" s="134">
        <f>O19+O10</f>
        <v>3324.17</v>
      </c>
      <c r="P20" s="134"/>
      <c r="Q20" s="134">
        <f>Q19+Q10</f>
        <v>269.29</v>
      </c>
      <c r="R20" s="134"/>
      <c r="S20" s="134">
        <f aca="true" t="shared" si="23" ref="S20:Z20">S19+S10</f>
        <v>10626.49</v>
      </c>
      <c r="T20" s="134">
        <f t="shared" si="23"/>
        <v>493.69</v>
      </c>
      <c r="U20" s="134">
        <f t="shared" si="23"/>
        <v>1450</v>
      </c>
      <c r="V20" s="134">
        <f t="shared" si="23"/>
        <v>330.32</v>
      </c>
      <c r="W20" s="135">
        <f t="shared" si="23"/>
        <v>0</v>
      </c>
      <c r="X20" s="134">
        <f t="shared" si="23"/>
        <v>0</v>
      </c>
      <c r="Y20" s="135">
        <f t="shared" si="23"/>
        <v>0</v>
      </c>
      <c r="Z20" s="134">
        <f t="shared" si="23"/>
        <v>0</v>
      </c>
      <c r="AA20" s="158"/>
      <c r="AB20" s="134">
        <f>AB19+AB10</f>
        <v>6292.91</v>
      </c>
      <c r="AC20" s="134">
        <f>AC19+AC10</f>
        <v>0</v>
      </c>
      <c r="AD20" s="134">
        <f>AD19+AD10</f>
        <v>11750.76</v>
      </c>
      <c r="AE20" s="134">
        <f>AE19+AE10</f>
        <v>500</v>
      </c>
      <c r="AF20" s="134">
        <f>AF19+AF10</f>
        <v>52799.67</v>
      </c>
      <c r="AG20" s="134"/>
      <c r="AH20" s="134">
        <f aca="true" t="shared" si="24" ref="AH20:AX20">AH19+AH10</f>
        <v>32169.22</v>
      </c>
      <c r="AI20" s="134">
        <f t="shared" si="24"/>
        <v>20630.45</v>
      </c>
      <c r="AJ20" s="134">
        <f t="shared" si="24"/>
        <v>1033.5</v>
      </c>
      <c r="AK20" s="134">
        <f t="shared" si="24"/>
        <v>5790.45</v>
      </c>
      <c r="AL20" s="134">
        <f t="shared" si="24"/>
        <v>3527.46</v>
      </c>
      <c r="AM20" s="134">
        <f t="shared" si="24"/>
        <v>0</v>
      </c>
      <c r="AN20" s="134">
        <f t="shared" si="24"/>
        <v>9317.91</v>
      </c>
      <c r="AO20" s="134">
        <f t="shared" si="24"/>
        <v>482.55</v>
      </c>
      <c r="AP20" s="134">
        <f t="shared" si="24"/>
        <v>309.47</v>
      </c>
      <c r="AQ20" s="134">
        <f t="shared" si="24"/>
        <v>792.02</v>
      </c>
      <c r="AR20" s="134">
        <f t="shared" si="24"/>
        <v>256.82</v>
      </c>
      <c r="AS20" s="134">
        <f t="shared" si="24"/>
        <v>271.17</v>
      </c>
      <c r="AT20" s="134">
        <f t="shared" si="24"/>
        <v>6482.04</v>
      </c>
      <c r="AU20" s="134">
        <f t="shared" si="24"/>
        <v>4108.1</v>
      </c>
      <c r="AV20" s="134">
        <f t="shared" si="24"/>
        <v>10637.92</v>
      </c>
      <c r="AW20" s="134">
        <f t="shared" si="24"/>
        <v>21840.55</v>
      </c>
      <c r="AX20" s="134">
        <f t="shared" si="24"/>
        <v>16522.35</v>
      </c>
      <c r="AY20" s="126">
        <f>SUM(AW20:AX20)</f>
        <v>38362.9</v>
      </c>
      <c r="AZ20" s="134">
        <f>AZ19+AZ10</f>
        <v>3798.85</v>
      </c>
      <c r="BA20" s="134">
        <f>BA19+BA10</f>
        <v>0</v>
      </c>
      <c r="BB20" s="126">
        <f t="shared" si="1"/>
        <v>3798.85</v>
      </c>
      <c r="BC20" s="126">
        <f>AY20+BB20</f>
        <v>42161.75</v>
      </c>
      <c r="BD20" s="128">
        <f>AF20*22%</f>
        <v>11615.93</v>
      </c>
      <c r="BE20" s="129"/>
    </row>
    <row r="21" spans="1:57" ht="74.25" customHeight="1">
      <c r="A21" s="136"/>
      <c r="B21" s="101" t="s">
        <v>74</v>
      </c>
      <c r="C21" s="108">
        <v>1</v>
      </c>
      <c r="D21" s="146" t="s">
        <v>50</v>
      </c>
      <c r="E21" s="115"/>
      <c r="F21" s="115"/>
      <c r="G21" s="138"/>
      <c r="H21" s="117">
        <f>G21/21*E21</f>
        <v>0</v>
      </c>
      <c r="I21" s="118"/>
      <c r="J21" s="118"/>
      <c r="K21" s="119"/>
      <c r="L21" s="116"/>
      <c r="M21" s="116"/>
      <c r="N21" s="139"/>
      <c r="O21" s="116"/>
      <c r="P21" s="145"/>
      <c r="Q21" s="120"/>
      <c r="R21" s="119"/>
      <c r="S21" s="116"/>
      <c r="T21" s="118"/>
      <c r="U21" s="118"/>
      <c r="V21" s="118"/>
      <c r="W21" s="111"/>
      <c r="X21" s="118"/>
      <c r="Y21" s="121"/>
      <c r="Z21" s="116"/>
      <c r="AA21" s="121">
        <v>16</v>
      </c>
      <c r="AB21" s="116">
        <v>1766.95</v>
      </c>
      <c r="AC21" s="116"/>
      <c r="AD21" s="116"/>
      <c r="AE21" s="124"/>
      <c r="AF21" s="122">
        <f>AB21+Z21+X21+V21+S21+Q21+O21+M21+T21+AC21+AE21+U21+AD21</f>
        <v>1766.95</v>
      </c>
      <c r="AG21" s="123"/>
      <c r="AH21" s="160">
        <f>AF21</f>
        <v>1766.95</v>
      </c>
      <c r="AI21" s="118">
        <f>AF21-AH21</f>
        <v>0</v>
      </c>
      <c r="AJ21" s="116"/>
      <c r="AK21" s="116">
        <f>AH21*18%</f>
        <v>318.05</v>
      </c>
      <c r="AL21" s="116">
        <f>(AF21-AJ21)*18%-AK21</f>
        <v>0</v>
      </c>
      <c r="AM21" s="116"/>
      <c r="AN21" s="125">
        <f>SUM(AK21:AM21)</f>
        <v>318.05</v>
      </c>
      <c r="AO21" s="116">
        <f>AH21*1.5%</f>
        <v>26.5</v>
      </c>
      <c r="AP21" s="116">
        <f>AF21*1.5%-AO21</f>
        <v>0</v>
      </c>
      <c r="AQ21" s="125">
        <f>AO21+AP21</f>
        <v>26.5</v>
      </c>
      <c r="AR21" s="116">
        <f>AH21*1%</f>
        <v>17.67</v>
      </c>
      <c r="AS21" s="116"/>
      <c r="AT21" s="116">
        <f>AK21+AO21+AR21</f>
        <v>362.22</v>
      </c>
      <c r="AU21" s="116">
        <f>AL21+AM21+AP21+AS21</f>
        <v>0</v>
      </c>
      <c r="AV21" s="125">
        <f>AN21+AQ21+AR21</f>
        <v>362.22</v>
      </c>
      <c r="AW21" s="124">
        <f>AH21-(AK21+AO21+AR21)</f>
        <v>1404.73</v>
      </c>
      <c r="AX21" s="138"/>
      <c r="AY21" s="126">
        <f>SUM(AW21:AX21)</f>
        <v>1404.73</v>
      </c>
      <c r="AZ21" s="127"/>
      <c r="BA21" s="124"/>
      <c r="BB21" s="126">
        <f>SUM(AZ21:BA21)</f>
        <v>0</v>
      </c>
      <c r="BC21" s="126">
        <f>AY21+BB21</f>
        <v>1404.73</v>
      </c>
      <c r="BD21" s="128">
        <f>AF21*22%</f>
        <v>388.73</v>
      </c>
      <c r="BE21" s="129"/>
    </row>
    <row r="22" spans="1:57" ht="74.2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0"/>
      <c r="U22" s="110"/>
      <c r="V22" s="110"/>
      <c r="W22" s="110"/>
      <c r="X22" s="110"/>
      <c r="Y22" s="114"/>
      <c r="Z22" s="114"/>
      <c r="AA22" s="114"/>
      <c r="AB22" s="114"/>
      <c r="AC22" s="114"/>
      <c r="AD22" s="114"/>
      <c r="AE22" s="114"/>
      <c r="AF22" s="128"/>
      <c r="AG22" s="128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6"/>
      <c r="AY22" s="116"/>
      <c r="AZ22" s="114"/>
      <c r="BA22" s="151"/>
      <c r="BB22" s="116"/>
      <c r="BC22" s="116"/>
      <c r="BD22" s="128">
        <f>BD21+BD20</f>
        <v>12004.66</v>
      </c>
      <c r="BE22" s="129"/>
    </row>
    <row r="23" spans="20:57" ht="74.25" customHeight="1">
      <c r="T23" s="143"/>
      <c r="U23" s="143"/>
      <c r="V23" s="143"/>
      <c r="W23" s="143"/>
      <c r="X23" s="143"/>
      <c r="AF23" s="152"/>
      <c r="BD23" s="99">
        <v>143.55</v>
      </c>
      <c r="BE23" s="129"/>
    </row>
    <row r="24" spans="20:57" ht="74.25" customHeight="1">
      <c r="T24" s="143"/>
      <c r="U24" s="143"/>
      <c r="V24" s="143"/>
      <c r="W24" s="143"/>
      <c r="X24" s="143"/>
      <c r="BD24" s="163">
        <f>BD22+BD23</f>
        <v>12148.21</v>
      </c>
      <c r="BE24" s="129"/>
    </row>
    <row r="25" spans="20:57" ht="74.25" customHeight="1">
      <c r="T25" s="143"/>
      <c r="U25" s="143"/>
      <c r="V25" s="143"/>
      <c r="W25" s="143"/>
      <c r="X25" s="143"/>
      <c r="BE25" s="129"/>
    </row>
    <row r="26" spans="20:57" ht="74.25" customHeight="1">
      <c r="T26" s="143"/>
      <c r="U26" s="143"/>
      <c r="V26" s="143"/>
      <c r="W26" s="143"/>
      <c r="X26" s="143"/>
      <c r="BE26" s="129"/>
    </row>
    <row r="27" spans="20:57" ht="74.25" customHeight="1">
      <c r="T27" s="143"/>
      <c r="U27" s="143"/>
      <c r="V27" s="143"/>
      <c r="W27" s="143"/>
      <c r="X27" s="143"/>
      <c r="BE27" s="129"/>
    </row>
    <row r="28" spans="20:57" ht="74.25" customHeight="1">
      <c r="T28" s="143"/>
      <c r="U28" s="143"/>
      <c r="V28" s="143"/>
      <c r="W28" s="143"/>
      <c r="X28" s="143"/>
      <c r="BE28" s="129"/>
    </row>
    <row r="29" spans="20:57" ht="74.25" customHeight="1">
      <c r="T29" s="143"/>
      <c r="U29" s="143"/>
      <c r="V29" s="143"/>
      <c r="W29" s="143"/>
      <c r="X29" s="143"/>
      <c r="BE29" s="129"/>
    </row>
    <row r="30" spans="20:57" ht="74.25" customHeight="1">
      <c r="T30" s="143"/>
      <c r="U30" s="143"/>
      <c r="V30" s="143"/>
      <c r="W30" s="143"/>
      <c r="X30" s="143"/>
      <c r="BE30" s="129"/>
    </row>
    <row r="31" spans="20:57" ht="74.25" customHeight="1">
      <c r="T31" s="143"/>
      <c r="U31" s="143"/>
      <c r="V31" s="143"/>
      <c r="W31" s="143"/>
      <c r="X31" s="143"/>
      <c r="BE31" s="129"/>
    </row>
    <row r="32" spans="20:57" ht="74.25" customHeight="1">
      <c r="T32" s="143"/>
      <c r="U32" s="143"/>
      <c r="V32" s="143"/>
      <c r="W32" s="143"/>
      <c r="X32" s="143"/>
      <c r="BE32" s="129"/>
    </row>
    <row r="33" spans="20:57" ht="74.25" customHeight="1">
      <c r="T33" s="143"/>
      <c r="U33" s="143"/>
      <c r="V33" s="143"/>
      <c r="W33" s="143"/>
      <c r="X33" s="143"/>
      <c r="BE33" s="129"/>
    </row>
    <row r="34" spans="20:24" ht="74.25" customHeight="1">
      <c r="T34" s="143"/>
      <c r="U34" s="143"/>
      <c r="V34" s="143"/>
      <c r="W34" s="143"/>
      <c r="X34" s="143"/>
    </row>
    <row r="35" spans="20:24" ht="74.25" customHeight="1">
      <c r="T35" s="143"/>
      <c r="U35" s="143"/>
      <c r="V35" s="143"/>
      <c r="W35" s="143"/>
      <c r="X35" s="143"/>
    </row>
    <row r="36" spans="20:24" ht="74.25" customHeight="1">
      <c r="T36" s="143"/>
      <c r="U36" s="143"/>
      <c r="V36" s="143"/>
      <c r="W36" s="143"/>
      <c r="X36" s="143"/>
    </row>
    <row r="37" spans="20:24" ht="74.25" customHeight="1">
      <c r="T37" s="143"/>
      <c r="U37" s="143"/>
      <c r="V37" s="143"/>
      <c r="W37" s="143"/>
      <c r="X37" s="143"/>
    </row>
    <row r="38" spans="20:24" ht="74.25" customHeight="1">
      <c r="T38" s="143"/>
      <c r="U38" s="143"/>
      <c r="V38" s="143"/>
      <c r="W38" s="143"/>
      <c r="X38" s="143"/>
    </row>
  </sheetData>
  <sheetProtection/>
  <mergeCells count="49">
    <mergeCell ref="A1:Z1"/>
    <mergeCell ref="AF1:BB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L4"/>
    <mergeCell ref="M3:M5"/>
    <mergeCell ref="N3:Q3"/>
    <mergeCell ref="R3:S4"/>
    <mergeCell ref="T3:T5"/>
    <mergeCell ref="U3:U5"/>
    <mergeCell ref="V3:V5"/>
    <mergeCell ref="W3:Z3"/>
    <mergeCell ref="AA3:AB4"/>
    <mergeCell ref="AC3:AC5"/>
    <mergeCell ref="AK4:AL4"/>
    <mergeCell ref="AD3:AD5"/>
    <mergeCell ref="AE3:AE5"/>
    <mergeCell ref="AF3:AF5"/>
    <mergeCell ref="AG3:AG5"/>
    <mergeCell ref="AH3:AH5"/>
    <mergeCell ref="AI3:AI5"/>
    <mergeCell ref="AS4:AS5"/>
    <mergeCell ref="AJ3:AV3"/>
    <mergeCell ref="AW3:BB3"/>
    <mergeCell ref="BC3:BC5"/>
    <mergeCell ref="BD3:BD5"/>
    <mergeCell ref="N4:O4"/>
    <mergeCell ref="P4:Q4"/>
    <mergeCell ref="W4:X4"/>
    <mergeCell ref="Y4:Z4"/>
    <mergeCell ref="AJ4:AJ5"/>
    <mergeCell ref="AT4:AV4"/>
    <mergeCell ref="AW4:AX4"/>
    <mergeCell ref="AY4:AY5"/>
    <mergeCell ref="AZ4:BA4"/>
    <mergeCell ref="BB4:BB5"/>
    <mergeCell ref="AM4:AM5"/>
    <mergeCell ref="AN4:AN5"/>
    <mergeCell ref="AO4:AP4"/>
    <mergeCell ref="AQ4:AQ5"/>
    <mergeCell ref="AR4:AR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20" r:id="rId2"/>
  <colBreaks count="1" manualBreakCount="1">
    <brk id="3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8"/>
  <sheetViews>
    <sheetView view="pageBreakPreview" zoomScale="30" zoomScaleNormal="30" zoomScaleSheetLayoutView="30" zoomScalePageLayoutView="0" workbookViewId="0" topLeftCell="F1">
      <selection activeCell="V6" sqref="V6"/>
    </sheetView>
  </sheetViews>
  <sheetFormatPr defaultColWidth="15.7109375" defaultRowHeight="74.25" customHeight="1"/>
  <cols>
    <col min="1" max="1" width="10.28125" style="100" customWidth="1"/>
    <col min="2" max="2" width="49.140625" style="100" customWidth="1"/>
    <col min="3" max="3" width="12.421875" style="100" customWidth="1"/>
    <col min="4" max="4" width="50.140625" style="100" customWidth="1"/>
    <col min="5" max="5" width="21.00390625" style="100" customWidth="1"/>
    <col min="6" max="6" width="19.7109375" style="100" customWidth="1"/>
    <col min="7" max="7" width="37.8515625" style="100" customWidth="1"/>
    <col min="8" max="8" width="32.140625" style="100" customWidth="1"/>
    <col min="9" max="9" width="18.7109375" style="100" customWidth="1"/>
    <col min="10" max="10" width="27.140625" style="100" customWidth="1"/>
    <col min="11" max="11" width="15.140625" style="100" customWidth="1"/>
    <col min="12" max="12" width="22.8515625" style="100" customWidth="1"/>
    <col min="13" max="13" width="25.421875" style="100" customWidth="1"/>
    <col min="14" max="14" width="15.7109375" style="100" customWidth="1"/>
    <col min="15" max="15" width="22.57421875" style="100" customWidth="1"/>
    <col min="16" max="16" width="18.28125" style="100" customWidth="1"/>
    <col min="17" max="17" width="18.421875" style="100" customWidth="1"/>
    <col min="18" max="18" width="18.00390625" style="100" customWidth="1"/>
    <col min="19" max="19" width="22.8515625" style="100" customWidth="1"/>
    <col min="20" max="20" width="20.421875" style="100" customWidth="1"/>
    <col min="21" max="21" width="21.00390625" style="100" customWidth="1"/>
    <col min="22" max="22" width="23.57421875" style="100" customWidth="1"/>
    <col min="23" max="23" width="14.7109375" style="100" customWidth="1"/>
    <col min="24" max="24" width="15.7109375" style="100" customWidth="1"/>
    <col min="25" max="25" width="13.28125" style="100" customWidth="1"/>
    <col min="26" max="26" width="17.421875" style="100" customWidth="1"/>
    <col min="27" max="27" width="15.7109375" style="100" customWidth="1"/>
    <col min="28" max="28" width="20.140625" style="100" customWidth="1"/>
    <col min="29" max="29" width="18.8515625" style="100" customWidth="1"/>
    <col min="30" max="30" width="21.421875" style="100" customWidth="1"/>
    <col min="31" max="31" width="22.8515625" style="100" customWidth="1"/>
    <col min="32" max="32" width="39.57421875" style="153" customWidth="1"/>
    <col min="33" max="33" width="31.7109375" style="153" customWidth="1"/>
    <col min="34" max="34" width="28.421875" style="100" customWidth="1"/>
    <col min="35" max="35" width="27.421875" style="100" customWidth="1"/>
    <col min="36" max="36" width="31.7109375" style="100" customWidth="1"/>
    <col min="37" max="37" width="21.7109375" style="100" customWidth="1"/>
    <col min="38" max="38" width="22.140625" style="100" customWidth="1"/>
    <col min="39" max="39" width="16.00390625" style="100" customWidth="1"/>
    <col min="40" max="40" width="23.140625" style="100" customWidth="1"/>
    <col min="41" max="41" width="20.7109375" style="100" customWidth="1"/>
    <col min="42" max="42" width="27.00390625" style="100" customWidth="1"/>
    <col min="43" max="43" width="31.7109375" style="100" customWidth="1"/>
    <col min="44" max="44" width="22.28125" style="100" customWidth="1"/>
    <col min="45" max="46" width="22.7109375" style="100" customWidth="1"/>
    <col min="47" max="47" width="27.00390625" style="100" customWidth="1"/>
    <col min="48" max="48" width="31.7109375" style="100" customWidth="1"/>
    <col min="49" max="49" width="34.7109375" style="100" customWidth="1"/>
    <col min="50" max="50" width="37.00390625" style="100" customWidth="1"/>
    <col min="51" max="51" width="33.28125" style="100" customWidth="1"/>
    <col min="52" max="52" width="35.57421875" style="100" customWidth="1"/>
    <col min="53" max="53" width="28.421875" style="100" customWidth="1"/>
    <col min="54" max="54" width="28.421875" style="153" customWidth="1"/>
    <col min="55" max="55" width="31.28125" style="100" customWidth="1"/>
    <col min="56" max="56" width="38.00390625" style="100" customWidth="1"/>
    <col min="57" max="57" width="37.57421875" style="100" customWidth="1"/>
    <col min="58" max="59" width="15.7109375" style="100" hidden="1" customWidth="1"/>
    <col min="60" max="16384" width="15.7109375" style="100" customWidth="1"/>
  </cols>
  <sheetData>
    <row r="1" spans="1:59" ht="74.25" customHeight="1">
      <c r="A1" s="379" t="s">
        <v>114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9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99"/>
      <c r="BE1" s="99"/>
      <c r="BF1" s="99"/>
      <c r="BG1" s="99"/>
    </row>
    <row r="2" spans="1:59" ht="74.25" customHeight="1">
      <c r="A2" s="155" t="s">
        <v>96</v>
      </c>
      <c r="B2" s="155"/>
      <c r="C2" s="155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6"/>
      <c r="AC2" s="156"/>
      <c r="AD2" s="156"/>
      <c r="AE2" s="156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4"/>
      <c r="BE2" s="154"/>
      <c r="BF2" s="99"/>
      <c r="BG2" s="99"/>
    </row>
    <row r="3" spans="1:57" ht="74.25" customHeight="1">
      <c r="A3" s="380" t="s">
        <v>0</v>
      </c>
      <c r="B3" s="380" t="s">
        <v>40</v>
      </c>
      <c r="C3" s="381" t="s">
        <v>53</v>
      </c>
      <c r="D3" s="380" t="s">
        <v>21</v>
      </c>
      <c r="E3" s="380" t="s">
        <v>1</v>
      </c>
      <c r="F3" s="380" t="s">
        <v>2</v>
      </c>
      <c r="G3" s="384" t="s">
        <v>65</v>
      </c>
      <c r="H3" s="384" t="s">
        <v>66</v>
      </c>
      <c r="I3" s="387" t="s">
        <v>7</v>
      </c>
      <c r="J3" s="387" t="s">
        <v>6</v>
      </c>
      <c r="K3" s="388" t="s">
        <v>8</v>
      </c>
      <c r="L3" s="389"/>
      <c r="M3" s="387" t="s">
        <v>6</v>
      </c>
      <c r="N3" s="388" t="s">
        <v>9</v>
      </c>
      <c r="O3" s="392"/>
      <c r="P3" s="392"/>
      <c r="Q3" s="392"/>
      <c r="R3" s="388" t="s">
        <v>10</v>
      </c>
      <c r="S3" s="389"/>
      <c r="T3" s="393" t="s">
        <v>111</v>
      </c>
      <c r="U3" s="396" t="s">
        <v>80</v>
      </c>
      <c r="V3" s="399" t="s">
        <v>107</v>
      </c>
      <c r="W3" s="388" t="s">
        <v>26</v>
      </c>
      <c r="X3" s="392"/>
      <c r="Y3" s="392"/>
      <c r="Z3" s="389"/>
      <c r="AA3" s="388" t="s">
        <v>109</v>
      </c>
      <c r="AB3" s="389"/>
      <c r="AC3" s="381" t="s">
        <v>105</v>
      </c>
      <c r="AD3" s="406" t="s">
        <v>55</v>
      </c>
      <c r="AE3" s="381" t="s">
        <v>119</v>
      </c>
      <c r="AF3" s="409" t="s">
        <v>13</v>
      </c>
      <c r="AG3" s="410" t="s">
        <v>68</v>
      </c>
      <c r="AH3" s="433" t="s">
        <v>31</v>
      </c>
      <c r="AI3" s="414"/>
      <c r="AJ3" s="417" t="s">
        <v>72</v>
      </c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8" t="s">
        <v>18</v>
      </c>
      <c r="AY3" s="419"/>
      <c r="AZ3" s="419"/>
      <c r="BA3" s="419"/>
      <c r="BB3" s="419"/>
      <c r="BC3" s="420"/>
      <c r="BD3" s="421" t="s">
        <v>73</v>
      </c>
      <c r="BE3" s="411" t="s">
        <v>84</v>
      </c>
    </row>
    <row r="4" spans="1:57" ht="74.25" customHeight="1">
      <c r="A4" s="380"/>
      <c r="B4" s="380"/>
      <c r="C4" s="382"/>
      <c r="D4" s="380"/>
      <c r="E4" s="380"/>
      <c r="F4" s="380"/>
      <c r="G4" s="385"/>
      <c r="H4" s="385"/>
      <c r="I4" s="387"/>
      <c r="J4" s="387"/>
      <c r="K4" s="390"/>
      <c r="L4" s="391"/>
      <c r="M4" s="387"/>
      <c r="N4" s="380" t="s">
        <v>24</v>
      </c>
      <c r="O4" s="380"/>
      <c r="P4" s="380" t="s">
        <v>25</v>
      </c>
      <c r="Q4" s="380"/>
      <c r="R4" s="390"/>
      <c r="S4" s="391"/>
      <c r="T4" s="394"/>
      <c r="U4" s="397"/>
      <c r="V4" s="400"/>
      <c r="W4" s="402" t="s">
        <v>28</v>
      </c>
      <c r="X4" s="403"/>
      <c r="Y4" s="402" t="s">
        <v>116</v>
      </c>
      <c r="Z4" s="403"/>
      <c r="AA4" s="404"/>
      <c r="AB4" s="405"/>
      <c r="AC4" s="382"/>
      <c r="AD4" s="407"/>
      <c r="AE4" s="382"/>
      <c r="AF4" s="409"/>
      <c r="AG4" s="410"/>
      <c r="AH4" s="434"/>
      <c r="AI4" s="415"/>
      <c r="AJ4" s="424" t="s">
        <v>64</v>
      </c>
      <c r="AK4" s="402" t="s">
        <v>54</v>
      </c>
      <c r="AL4" s="403"/>
      <c r="AM4" s="381" t="s">
        <v>63</v>
      </c>
      <c r="AN4" s="381" t="s">
        <v>51</v>
      </c>
      <c r="AO4" s="388" t="s">
        <v>69</v>
      </c>
      <c r="AP4" s="389"/>
      <c r="AQ4" s="384" t="s">
        <v>70</v>
      </c>
      <c r="AR4" s="388" t="s">
        <v>117</v>
      </c>
      <c r="AS4" s="389"/>
      <c r="AT4" s="384" t="s">
        <v>118</v>
      </c>
      <c r="AU4" s="430" t="s">
        <v>17</v>
      </c>
      <c r="AV4" s="431"/>
      <c r="AW4" s="432"/>
      <c r="AX4" s="418" t="s">
        <v>19</v>
      </c>
      <c r="AY4" s="420"/>
      <c r="AZ4" s="426" t="s">
        <v>33</v>
      </c>
      <c r="BA4" s="418" t="s">
        <v>20</v>
      </c>
      <c r="BB4" s="420"/>
      <c r="BC4" s="428" t="s">
        <v>33</v>
      </c>
      <c r="BD4" s="422"/>
      <c r="BE4" s="412"/>
    </row>
    <row r="5" spans="1:57" ht="74.25" customHeight="1">
      <c r="A5" s="380"/>
      <c r="B5" s="380"/>
      <c r="C5" s="383"/>
      <c r="D5" s="380"/>
      <c r="E5" s="380"/>
      <c r="F5" s="380"/>
      <c r="G5" s="386"/>
      <c r="H5" s="386"/>
      <c r="I5" s="387"/>
      <c r="J5" s="387"/>
      <c r="K5" s="167" t="s">
        <v>22</v>
      </c>
      <c r="L5" s="101" t="s">
        <v>23</v>
      </c>
      <c r="M5" s="387"/>
      <c r="N5" s="167" t="s">
        <v>22</v>
      </c>
      <c r="O5" s="101" t="s">
        <v>23</v>
      </c>
      <c r="P5" s="109" t="s">
        <v>22</v>
      </c>
      <c r="Q5" s="109" t="s">
        <v>23</v>
      </c>
      <c r="R5" s="167" t="s">
        <v>22</v>
      </c>
      <c r="S5" s="101" t="s">
        <v>23</v>
      </c>
      <c r="T5" s="395"/>
      <c r="U5" s="398"/>
      <c r="V5" s="401"/>
      <c r="W5" s="110" t="s">
        <v>27</v>
      </c>
      <c r="X5" s="110" t="s">
        <v>23</v>
      </c>
      <c r="Y5" s="111" t="s">
        <v>27</v>
      </c>
      <c r="Z5" s="110" t="s">
        <v>23</v>
      </c>
      <c r="AA5" s="110" t="s">
        <v>27</v>
      </c>
      <c r="AB5" s="110" t="s">
        <v>23</v>
      </c>
      <c r="AC5" s="383"/>
      <c r="AD5" s="408"/>
      <c r="AE5" s="383"/>
      <c r="AF5" s="409"/>
      <c r="AG5" s="410"/>
      <c r="AH5" s="435"/>
      <c r="AI5" s="416"/>
      <c r="AJ5" s="425"/>
      <c r="AK5" s="101" t="s">
        <v>15</v>
      </c>
      <c r="AL5" s="101" t="s">
        <v>16</v>
      </c>
      <c r="AM5" s="383"/>
      <c r="AN5" s="383"/>
      <c r="AO5" s="102" t="s">
        <v>15</v>
      </c>
      <c r="AP5" s="101" t="s">
        <v>16</v>
      </c>
      <c r="AQ5" s="386"/>
      <c r="AR5" s="102" t="s">
        <v>15</v>
      </c>
      <c r="AS5" s="101" t="s">
        <v>16</v>
      </c>
      <c r="AT5" s="386"/>
      <c r="AU5" s="102" t="s">
        <v>15</v>
      </c>
      <c r="AV5" s="101" t="s">
        <v>16</v>
      </c>
      <c r="AW5" s="104" t="s">
        <v>73</v>
      </c>
      <c r="AX5" s="112" t="s">
        <v>15</v>
      </c>
      <c r="AY5" s="113" t="s">
        <v>16</v>
      </c>
      <c r="AZ5" s="427"/>
      <c r="BA5" s="112" t="s">
        <v>15</v>
      </c>
      <c r="BB5" s="113" t="s">
        <v>16</v>
      </c>
      <c r="BC5" s="429"/>
      <c r="BD5" s="423"/>
      <c r="BE5" s="413"/>
    </row>
    <row r="6" spans="1:58" ht="74.25" customHeight="1">
      <c r="A6" s="114">
        <v>1</v>
      </c>
      <c r="B6" s="107" t="s">
        <v>60</v>
      </c>
      <c r="C6" s="101">
        <v>1</v>
      </c>
      <c r="D6" s="108" t="s">
        <v>89</v>
      </c>
      <c r="E6" s="115">
        <v>6</v>
      </c>
      <c r="F6" s="115">
        <v>48</v>
      </c>
      <c r="G6" s="116">
        <v>3127</v>
      </c>
      <c r="H6" s="117">
        <f>G6/22*E6</f>
        <v>852.82</v>
      </c>
      <c r="I6" s="118">
        <f>90/22*E6</f>
        <v>24.55</v>
      </c>
      <c r="J6" s="118">
        <f>H6+I6</f>
        <v>877.37</v>
      </c>
      <c r="K6" s="119"/>
      <c r="L6" s="116"/>
      <c r="M6" s="116">
        <f>J6+L6</f>
        <v>877.37</v>
      </c>
      <c r="N6" s="116"/>
      <c r="O6" s="116"/>
      <c r="P6" s="116"/>
      <c r="Q6" s="120"/>
      <c r="R6" s="119">
        <v>1</v>
      </c>
      <c r="S6" s="116"/>
      <c r="T6" s="118"/>
      <c r="U6" s="118"/>
      <c r="V6" s="118"/>
      <c r="W6" s="111"/>
      <c r="X6" s="118"/>
      <c r="Y6" s="121"/>
      <c r="Z6" s="116"/>
      <c r="AA6" s="121">
        <v>7</v>
      </c>
      <c r="AB6" s="116">
        <v>1384.03</v>
      </c>
      <c r="AC6" s="116"/>
      <c r="AD6" s="116">
        <v>6400.65</v>
      </c>
      <c r="AE6" s="116"/>
      <c r="AF6" s="122">
        <f>AB6+Z6+X6+V6+S6+Q6+O6+M6+T6+AC6+AE6+U6+AD6</f>
        <v>8662.05</v>
      </c>
      <c r="AG6" s="123">
        <v>6</v>
      </c>
      <c r="AH6" s="165">
        <f>AF6</f>
        <v>8662.05</v>
      </c>
      <c r="AI6" s="118"/>
      <c r="AJ6" s="116"/>
      <c r="AK6" s="116">
        <f>AH6*18%</f>
        <v>1559.17</v>
      </c>
      <c r="AL6" s="116"/>
      <c r="AM6" s="116"/>
      <c r="AN6" s="125">
        <f>SUM(AK6:AM6)</f>
        <v>1559.17</v>
      </c>
      <c r="AO6" s="116">
        <f>AH6*1.5%</f>
        <v>129.93</v>
      </c>
      <c r="AP6" s="116"/>
      <c r="AQ6" s="125">
        <f>AO6+AP6</f>
        <v>129.93</v>
      </c>
      <c r="AR6" s="116">
        <f>AH6*1%</f>
        <v>86.62</v>
      </c>
      <c r="AS6" s="116"/>
      <c r="AT6" s="116">
        <f>SUM(AR6:AS6)</f>
        <v>86.62</v>
      </c>
      <c r="AU6" s="116">
        <f>AK6+AO6+AR6</f>
        <v>1775.72</v>
      </c>
      <c r="AV6" s="116">
        <f>AL6+AM6+AP6+AS6</f>
        <v>0</v>
      </c>
      <c r="AW6" s="125">
        <f>AU6+AV6</f>
        <v>1775.72</v>
      </c>
      <c r="AX6" s="124">
        <f>AH6-AW6</f>
        <v>6886.33</v>
      </c>
      <c r="AY6" s="124"/>
      <c r="AZ6" s="126">
        <f>SUM(AX6:AY6)</f>
        <v>6886.33</v>
      </c>
      <c r="BA6" s="127"/>
      <c r="BB6" s="124"/>
      <c r="BC6" s="126">
        <f>SUM(BA6:BB6)</f>
        <v>0</v>
      </c>
      <c r="BD6" s="126">
        <f>AZ6+BC6</f>
        <v>6886.33</v>
      </c>
      <c r="BE6" s="128">
        <f>AF6*22%</f>
        <v>1905.65</v>
      </c>
      <c r="BF6" s="129"/>
    </row>
    <row r="7" spans="1:58" ht="74.25" customHeight="1">
      <c r="A7" s="114">
        <v>2</v>
      </c>
      <c r="B7" s="107" t="s">
        <v>34</v>
      </c>
      <c r="C7" s="101">
        <v>1</v>
      </c>
      <c r="D7" s="108" t="s">
        <v>90</v>
      </c>
      <c r="E7" s="115">
        <v>22</v>
      </c>
      <c r="F7" s="115">
        <v>175</v>
      </c>
      <c r="G7" s="116">
        <v>2457</v>
      </c>
      <c r="H7" s="117">
        <f>G7/22*E7</f>
        <v>2457</v>
      </c>
      <c r="I7" s="118">
        <f>90</f>
        <v>90</v>
      </c>
      <c r="J7" s="118">
        <f>H7+I7</f>
        <v>2547</v>
      </c>
      <c r="K7" s="119">
        <v>0.4</v>
      </c>
      <c r="L7" s="116">
        <f>J7*K7</f>
        <v>1018.8</v>
      </c>
      <c r="M7" s="116">
        <f>J7+L7</f>
        <v>3565.8</v>
      </c>
      <c r="N7" s="116"/>
      <c r="O7" s="116"/>
      <c r="P7" s="116"/>
      <c r="Q7" s="120"/>
      <c r="R7" s="119">
        <v>1</v>
      </c>
      <c r="S7" s="116">
        <f>H7*R7</f>
        <v>2457</v>
      </c>
      <c r="T7" s="118"/>
      <c r="U7" s="118"/>
      <c r="V7" s="118"/>
      <c r="W7" s="111"/>
      <c r="X7" s="118"/>
      <c r="Y7" s="121"/>
      <c r="Z7" s="116"/>
      <c r="AA7" s="121"/>
      <c r="AB7" s="116"/>
      <c r="AC7" s="116"/>
      <c r="AD7" s="116"/>
      <c r="AE7" s="116"/>
      <c r="AF7" s="122">
        <f>AB7+Z7+X7+V7+S7+Q7+O7+M7+T7+AC7+AE7+U7+AD7</f>
        <v>6022.8</v>
      </c>
      <c r="AG7" s="123"/>
      <c r="AH7" s="165"/>
      <c r="AI7" s="118"/>
      <c r="AJ7" s="116"/>
      <c r="AK7" s="116">
        <f>AH7*18%</f>
        <v>0</v>
      </c>
      <c r="AL7" s="116"/>
      <c r="AM7" s="116"/>
      <c r="AN7" s="125">
        <f>SUM(AK7:AM7)</f>
        <v>0</v>
      </c>
      <c r="AO7" s="116">
        <f>AH7*1.5%</f>
        <v>0</v>
      </c>
      <c r="AP7" s="116"/>
      <c r="AQ7" s="125">
        <f>AO7+AP7</f>
        <v>0</v>
      </c>
      <c r="AR7" s="116"/>
      <c r="AS7" s="116"/>
      <c r="AT7" s="116">
        <f aca="true" t="shared" si="0" ref="AT7:AT18">SUM(AR7:AS7)</f>
        <v>0</v>
      </c>
      <c r="AU7" s="116">
        <f aca="true" t="shared" si="1" ref="AU7:AU18">AK7+AO7+AR7</f>
        <v>0</v>
      </c>
      <c r="AV7" s="116">
        <f aca="true" t="shared" si="2" ref="AV7:AV18">AL7+AM7+AP7+AS7</f>
        <v>0</v>
      </c>
      <c r="AW7" s="125">
        <f aca="true" t="shared" si="3" ref="AW7:AW18">AU7+AV7</f>
        <v>0</v>
      </c>
      <c r="AX7" s="124">
        <f aca="true" t="shared" si="4" ref="AX7:AX18">AH7-AW7</f>
        <v>0</v>
      </c>
      <c r="AY7" s="124"/>
      <c r="AZ7" s="126">
        <f>SUM(AX7:AY7)</f>
        <v>0</v>
      </c>
      <c r="BA7" s="127"/>
      <c r="BB7" s="124"/>
      <c r="BC7" s="126">
        <f aca="true" t="shared" si="5" ref="BC7:BC20">SUM(BA7:BB7)</f>
        <v>0</v>
      </c>
      <c r="BD7" s="126">
        <f>AZ7+BC7</f>
        <v>0</v>
      </c>
      <c r="BE7" s="128">
        <f>AF7*22%</f>
        <v>1325.02</v>
      </c>
      <c r="BF7" s="129"/>
    </row>
    <row r="8" spans="1:58" ht="74.25" customHeight="1">
      <c r="A8" s="114">
        <v>3</v>
      </c>
      <c r="B8" s="107" t="s">
        <v>36</v>
      </c>
      <c r="C8" s="101">
        <v>1</v>
      </c>
      <c r="D8" s="108" t="s">
        <v>91</v>
      </c>
      <c r="E8" s="115">
        <v>13</v>
      </c>
      <c r="F8" s="115">
        <v>104</v>
      </c>
      <c r="G8" s="116">
        <v>1723</v>
      </c>
      <c r="H8" s="117">
        <f>G8/22*E8</f>
        <v>1018.14</v>
      </c>
      <c r="I8" s="118">
        <f>55/22*E8</f>
        <v>32.5</v>
      </c>
      <c r="J8" s="118">
        <f>H8+I8</f>
        <v>1050.64</v>
      </c>
      <c r="K8" s="119">
        <v>0.15</v>
      </c>
      <c r="L8" s="116">
        <f>J8*K8</f>
        <v>157.6</v>
      </c>
      <c r="M8" s="116">
        <f>J8+L8</f>
        <v>1208.24</v>
      </c>
      <c r="N8" s="116"/>
      <c r="O8" s="116"/>
      <c r="P8" s="116"/>
      <c r="Q8" s="120"/>
      <c r="R8" s="119">
        <v>1</v>
      </c>
      <c r="S8" s="116">
        <f>H8*R8</f>
        <v>1018.14</v>
      </c>
      <c r="T8" s="118"/>
      <c r="U8" s="118"/>
      <c r="V8" s="118">
        <f>59.45/22*E8</f>
        <v>35.13</v>
      </c>
      <c r="W8" s="111"/>
      <c r="X8" s="118"/>
      <c r="Y8" s="121"/>
      <c r="Z8" s="116"/>
      <c r="AA8" s="121">
        <v>24</v>
      </c>
      <c r="AB8" s="116">
        <v>3223.3</v>
      </c>
      <c r="AC8" s="116">
        <v>805.83</v>
      </c>
      <c r="AD8" s="116">
        <v>3827.15</v>
      </c>
      <c r="AE8" s="116"/>
      <c r="AF8" s="122">
        <f>AB8+Z8+X8+V8+S8+Q8+O8+M8+T8+AC8+AE8+U8+AD8</f>
        <v>10117.79</v>
      </c>
      <c r="AG8" s="123">
        <v>13</v>
      </c>
      <c r="AH8" s="165">
        <f>AF8</f>
        <v>10117.79</v>
      </c>
      <c r="AI8" s="118"/>
      <c r="AJ8" s="116"/>
      <c r="AK8" s="116">
        <f>AH8*18%</f>
        <v>1821.2</v>
      </c>
      <c r="AL8" s="116"/>
      <c r="AM8" s="116"/>
      <c r="AN8" s="125">
        <f>SUM(AK8:AM8)</f>
        <v>1821.2</v>
      </c>
      <c r="AO8" s="116">
        <f>AH8*1.5%</f>
        <v>151.77</v>
      </c>
      <c r="AP8" s="116"/>
      <c r="AQ8" s="125">
        <f>AO8+AP8</f>
        <v>151.77</v>
      </c>
      <c r="AR8" s="116">
        <f>AH8*1%</f>
        <v>101.18</v>
      </c>
      <c r="AS8" s="116"/>
      <c r="AT8" s="116">
        <f t="shared" si="0"/>
        <v>101.18</v>
      </c>
      <c r="AU8" s="116">
        <f t="shared" si="1"/>
        <v>2074.15</v>
      </c>
      <c r="AV8" s="116">
        <f t="shared" si="2"/>
        <v>0</v>
      </c>
      <c r="AW8" s="125">
        <f t="shared" si="3"/>
        <v>2074.15</v>
      </c>
      <c r="AX8" s="124">
        <f t="shared" si="4"/>
        <v>8043.64</v>
      </c>
      <c r="AY8" s="124"/>
      <c r="AZ8" s="126">
        <f>SUM(AX8:AY8)</f>
        <v>8043.64</v>
      </c>
      <c r="BA8" s="127"/>
      <c r="BB8" s="124"/>
      <c r="BC8" s="126">
        <f t="shared" si="5"/>
        <v>0</v>
      </c>
      <c r="BD8" s="126">
        <f>AZ8+BC8</f>
        <v>8043.64</v>
      </c>
      <c r="BE8" s="128">
        <f>AF8*22%</f>
        <v>2225.91</v>
      </c>
      <c r="BF8" s="129"/>
    </row>
    <row r="9" spans="1:58" ht="74.25" customHeight="1">
      <c r="A9" s="114">
        <v>4</v>
      </c>
      <c r="B9" s="107" t="s">
        <v>37</v>
      </c>
      <c r="C9" s="101">
        <v>1</v>
      </c>
      <c r="D9" s="108" t="s">
        <v>92</v>
      </c>
      <c r="E9" s="115">
        <v>22</v>
      </c>
      <c r="F9" s="115">
        <v>175</v>
      </c>
      <c r="G9" s="116">
        <v>1723</v>
      </c>
      <c r="H9" s="117">
        <f>G9/22*E9</f>
        <v>1723</v>
      </c>
      <c r="I9" s="118">
        <f>55</f>
        <v>55</v>
      </c>
      <c r="J9" s="118">
        <f>H9+I9</f>
        <v>1778</v>
      </c>
      <c r="K9" s="119">
        <v>0.25</v>
      </c>
      <c r="L9" s="116">
        <f>J9*K9</f>
        <v>444.5</v>
      </c>
      <c r="M9" s="116">
        <f>J9+L9</f>
        <v>2222.5</v>
      </c>
      <c r="N9" s="116"/>
      <c r="O9" s="116"/>
      <c r="P9" s="116"/>
      <c r="Q9" s="120"/>
      <c r="R9" s="119">
        <v>1</v>
      </c>
      <c r="S9" s="116">
        <f>H9*R9</f>
        <v>1723</v>
      </c>
      <c r="T9" s="118"/>
      <c r="U9" s="118"/>
      <c r="V9" s="118"/>
      <c r="W9" s="111"/>
      <c r="X9" s="118"/>
      <c r="Y9" s="121"/>
      <c r="Z9" s="116"/>
      <c r="AA9" s="121"/>
      <c r="AB9" s="116"/>
      <c r="AC9" s="116"/>
      <c r="AD9" s="116"/>
      <c r="AE9" s="116"/>
      <c r="AF9" s="122">
        <f>AB9+Z9+X9+V9+S9+Q9+O9+M9+T9+AC9+AE9+U9+AD9</f>
        <v>3945.5</v>
      </c>
      <c r="AG9" s="123">
        <v>11</v>
      </c>
      <c r="AH9" s="165">
        <f>G9/22*AG9</f>
        <v>861.5</v>
      </c>
      <c r="AI9" s="118"/>
      <c r="AJ9" s="116"/>
      <c r="AK9" s="116">
        <f>AH9*18%</f>
        <v>155.07</v>
      </c>
      <c r="AL9" s="116"/>
      <c r="AM9" s="116"/>
      <c r="AN9" s="125">
        <f>SUM(AK9:AM9)</f>
        <v>155.07</v>
      </c>
      <c r="AO9" s="116">
        <f>AH9*1.5%</f>
        <v>12.92</v>
      </c>
      <c r="AP9" s="116"/>
      <c r="AQ9" s="125">
        <f>AO9+AP9</f>
        <v>12.92</v>
      </c>
      <c r="AR9" s="116"/>
      <c r="AS9" s="116"/>
      <c r="AT9" s="116">
        <f t="shared" si="0"/>
        <v>0</v>
      </c>
      <c r="AU9" s="116">
        <f t="shared" si="1"/>
        <v>167.99</v>
      </c>
      <c r="AV9" s="116">
        <f t="shared" si="2"/>
        <v>0</v>
      </c>
      <c r="AW9" s="125">
        <f t="shared" si="3"/>
        <v>167.99</v>
      </c>
      <c r="AX9" s="124">
        <f t="shared" si="4"/>
        <v>693.51</v>
      </c>
      <c r="AY9" s="124"/>
      <c r="AZ9" s="126">
        <f>SUM(AX9:AY9)</f>
        <v>693.51</v>
      </c>
      <c r="BA9" s="127"/>
      <c r="BB9" s="124"/>
      <c r="BC9" s="126">
        <f t="shared" si="5"/>
        <v>0</v>
      </c>
      <c r="BD9" s="126">
        <f>AZ9+BC9</f>
        <v>693.51</v>
      </c>
      <c r="BE9" s="128">
        <f>AF9*22%</f>
        <v>868.01</v>
      </c>
      <c r="BF9" s="129"/>
    </row>
    <row r="10" spans="1:58" ht="74.25" customHeight="1">
      <c r="A10" s="130"/>
      <c r="B10" s="131" t="s">
        <v>39</v>
      </c>
      <c r="C10" s="132">
        <f>SUM(C6:C9)</f>
        <v>4</v>
      </c>
      <c r="D10" s="132"/>
      <c r="E10" s="115"/>
      <c r="F10" s="149">
        <f>SUM(F6:F9)</f>
        <v>502</v>
      </c>
      <c r="G10" s="133">
        <f>SUM(G6:G9)</f>
        <v>9030</v>
      </c>
      <c r="H10" s="133">
        <f>SUM(H6:H9)</f>
        <v>6050.96</v>
      </c>
      <c r="I10" s="133">
        <f>SUM(I6:I9)</f>
        <v>202.05</v>
      </c>
      <c r="J10" s="133">
        <f>SUM(J6:J9)</f>
        <v>6253.01</v>
      </c>
      <c r="K10" s="133"/>
      <c r="L10" s="133">
        <f>SUM(L6:L9)</f>
        <v>1620.9</v>
      </c>
      <c r="M10" s="133">
        <f>SUM(M6:M9)</f>
        <v>7873.91</v>
      </c>
      <c r="N10" s="133"/>
      <c r="O10" s="133">
        <f>SUM(O6:O9)</f>
        <v>0</v>
      </c>
      <c r="P10" s="133">
        <f>SUM(P6:P9)</f>
        <v>0</v>
      </c>
      <c r="Q10" s="133">
        <f>SUM(Q6:Q9)</f>
        <v>0</v>
      </c>
      <c r="R10" s="133"/>
      <c r="S10" s="133">
        <f aca="true" t="shared" si="6" ref="S10:BE10">SUM(S6:S9)</f>
        <v>5198.14</v>
      </c>
      <c r="T10" s="133">
        <f t="shared" si="6"/>
        <v>0</v>
      </c>
      <c r="U10" s="133">
        <f t="shared" si="6"/>
        <v>0</v>
      </c>
      <c r="V10" s="133">
        <f t="shared" si="6"/>
        <v>35.13</v>
      </c>
      <c r="W10" s="133">
        <f t="shared" si="6"/>
        <v>0</v>
      </c>
      <c r="X10" s="133">
        <f t="shared" si="6"/>
        <v>0</v>
      </c>
      <c r="Y10" s="133">
        <f t="shared" si="6"/>
        <v>0</v>
      </c>
      <c r="Z10" s="133">
        <f t="shared" si="6"/>
        <v>0</v>
      </c>
      <c r="AA10" s="133">
        <f t="shared" si="6"/>
        <v>31</v>
      </c>
      <c r="AB10" s="133">
        <f t="shared" si="6"/>
        <v>4607.33</v>
      </c>
      <c r="AC10" s="133">
        <f t="shared" si="6"/>
        <v>805.83</v>
      </c>
      <c r="AD10" s="133">
        <f t="shared" si="6"/>
        <v>10227.8</v>
      </c>
      <c r="AE10" s="133">
        <f t="shared" si="6"/>
        <v>0</v>
      </c>
      <c r="AF10" s="133">
        <f t="shared" si="6"/>
        <v>28748.14</v>
      </c>
      <c r="AG10" s="133">
        <f t="shared" si="6"/>
        <v>30</v>
      </c>
      <c r="AH10" s="166">
        <f t="shared" si="6"/>
        <v>19641.34</v>
      </c>
      <c r="AI10" s="133">
        <f t="shared" si="6"/>
        <v>0</v>
      </c>
      <c r="AJ10" s="133">
        <f t="shared" si="6"/>
        <v>0</v>
      </c>
      <c r="AK10" s="133">
        <f t="shared" si="6"/>
        <v>3535.44</v>
      </c>
      <c r="AL10" s="133">
        <f t="shared" si="6"/>
        <v>0</v>
      </c>
      <c r="AM10" s="133">
        <f t="shared" si="6"/>
        <v>0</v>
      </c>
      <c r="AN10" s="133">
        <f t="shared" si="6"/>
        <v>3535.44</v>
      </c>
      <c r="AO10" s="133">
        <f t="shared" si="6"/>
        <v>294.62</v>
      </c>
      <c r="AP10" s="133">
        <f t="shared" si="6"/>
        <v>0</v>
      </c>
      <c r="AQ10" s="133">
        <f t="shared" si="6"/>
        <v>294.62</v>
      </c>
      <c r="AR10" s="133">
        <f t="shared" si="6"/>
        <v>187.8</v>
      </c>
      <c r="AS10" s="133">
        <f t="shared" si="6"/>
        <v>0</v>
      </c>
      <c r="AT10" s="133">
        <f t="shared" si="6"/>
        <v>187.8</v>
      </c>
      <c r="AU10" s="133">
        <f t="shared" si="6"/>
        <v>4017.86</v>
      </c>
      <c r="AV10" s="133">
        <f t="shared" si="6"/>
        <v>0</v>
      </c>
      <c r="AW10" s="133">
        <f t="shared" si="6"/>
        <v>4017.86</v>
      </c>
      <c r="AX10" s="133">
        <f t="shared" si="6"/>
        <v>15623.48</v>
      </c>
      <c r="AY10" s="133">
        <f t="shared" si="6"/>
        <v>0</v>
      </c>
      <c r="AZ10" s="133">
        <f t="shared" si="6"/>
        <v>15623.48</v>
      </c>
      <c r="BA10" s="133">
        <f t="shared" si="6"/>
        <v>0</v>
      </c>
      <c r="BB10" s="133">
        <f t="shared" si="6"/>
        <v>0</v>
      </c>
      <c r="BC10" s="133">
        <f t="shared" si="6"/>
        <v>0</v>
      </c>
      <c r="BD10" s="133">
        <f t="shared" si="6"/>
        <v>15623.48</v>
      </c>
      <c r="BE10" s="133">
        <f t="shared" si="6"/>
        <v>6324.59</v>
      </c>
      <c r="BF10" s="129"/>
    </row>
    <row r="11" spans="1:58" s="143" customFormat="1" ht="74.25" customHeight="1">
      <c r="A11" s="136">
        <v>5</v>
      </c>
      <c r="B11" s="167" t="s">
        <v>61</v>
      </c>
      <c r="C11" s="167">
        <v>1</v>
      </c>
      <c r="D11" s="167" t="s">
        <v>44</v>
      </c>
      <c r="E11" s="115">
        <v>22</v>
      </c>
      <c r="F11" s="115">
        <v>175</v>
      </c>
      <c r="G11" s="138">
        <v>1723</v>
      </c>
      <c r="H11" s="117">
        <f>G11/22*E11</f>
        <v>1723</v>
      </c>
      <c r="I11" s="138"/>
      <c r="J11" s="118">
        <f aca="true" t="shared" si="7" ref="J11:J17">H11+I11</f>
        <v>1723</v>
      </c>
      <c r="K11" s="138"/>
      <c r="L11" s="138"/>
      <c r="M11" s="116">
        <f aca="true" t="shared" si="8" ref="M11:M18">J11+L11</f>
        <v>1723</v>
      </c>
      <c r="N11" s="139">
        <v>0.5</v>
      </c>
      <c r="O11" s="116">
        <f>M11*N11</f>
        <v>861.5</v>
      </c>
      <c r="P11" s="138"/>
      <c r="Q11" s="120"/>
      <c r="R11" s="119">
        <v>0.35</v>
      </c>
      <c r="S11" s="116">
        <f aca="true" t="shared" si="9" ref="S11:S18">H11*R11</f>
        <v>603.05</v>
      </c>
      <c r="T11" s="138"/>
      <c r="U11" s="138"/>
      <c r="V11" s="118">
        <f>59.45/21*E11</f>
        <v>62.28</v>
      </c>
      <c r="W11" s="140"/>
      <c r="X11" s="138"/>
      <c r="Y11" s="140"/>
      <c r="Z11" s="138"/>
      <c r="AA11" s="138"/>
      <c r="AB11" s="138"/>
      <c r="AC11" s="138"/>
      <c r="AD11" s="138"/>
      <c r="AE11" s="138"/>
      <c r="AF11" s="122">
        <f aca="true" t="shared" si="10" ref="AF11:AF18">AB11+Z11+X11+V11+S11+Q11+O11+M11+T11+AC11+AE11+U11+AD11</f>
        <v>3249.83</v>
      </c>
      <c r="AG11" s="123">
        <v>11</v>
      </c>
      <c r="AH11" s="165">
        <f>G11/22*AG11</f>
        <v>861.5</v>
      </c>
      <c r="AI11" s="118"/>
      <c r="AJ11" s="138"/>
      <c r="AK11" s="116">
        <f>AH11*18%</f>
        <v>155.07</v>
      </c>
      <c r="AL11" s="116"/>
      <c r="AM11" s="138"/>
      <c r="AN11" s="125">
        <f>SUM(AK11:AM11)</f>
        <v>155.07</v>
      </c>
      <c r="AO11" s="116">
        <f>AH11*1.5%</f>
        <v>12.92</v>
      </c>
      <c r="AP11" s="116"/>
      <c r="AQ11" s="125">
        <f>AO11+AP11</f>
        <v>12.92</v>
      </c>
      <c r="AR11" s="125"/>
      <c r="AS11" s="116"/>
      <c r="AT11" s="116">
        <f t="shared" si="0"/>
        <v>0</v>
      </c>
      <c r="AU11" s="116">
        <f t="shared" si="1"/>
        <v>167.99</v>
      </c>
      <c r="AV11" s="116">
        <f t="shared" si="2"/>
        <v>0</v>
      </c>
      <c r="AW11" s="125">
        <f t="shared" si="3"/>
        <v>167.99</v>
      </c>
      <c r="AX11" s="124">
        <f t="shared" si="4"/>
        <v>693.51</v>
      </c>
      <c r="AY11" s="124"/>
      <c r="AZ11" s="126">
        <f aca="true" t="shared" si="11" ref="AZ11:AZ18">SUM(AX11:AY11)</f>
        <v>693.51</v>
      </c>
      <c r="BA11" s="141"/>
      <c r="BB11" s="138"/>
      <c r="BC11" s="126">
        <f t="shared" si="5"/>
        <v>0</v>
      </c>
      <c r="BD11" s="126">
        <f>AZ11+BC11</f>
        <v>693.51</v>
      </c>
      <c r="BE11" s="128">
        <f>AF11*22%</f>
        <v>714.96</v>
      </c>
      <c r="BF11" s="142"/>
    </row>
    <row r="12" spans="1:58" ht="74.25" customHeight="1">
      <c r="A12" s="114">
        <v>6</v>
      </c>
      <c r="B12" s="101" t="s">
        <v>41</v>
      </c>
      <c r="C12" s="101">
        <v>1</v>
      </c>
      <c r="D12" s="144" t="s">
        <v>94</v>
      </c>
      <c r="E12" s="115">
        <v>22</v>
      </c>
      <c r="F12" s="115">
        <v>175</v>
      </c>
      <c r="G12" s="138">
        <v>1723</v>
      </c>
      <c r="H12" s="117">
        <f aca="true" t="shared" si="12" ref="H12:H18">G12/22*E12</f>
        <v>1723</v>
      </c>
      <c r="I12" s="118"/>
      <c r="J12" s="118">
        <f t="shared" si="7"/>
        <v>1723</v>
      </c>
      <c r="K12" s="119">
        <v>0.4</v>
      </c>
      <c r="L12" s="116">
        <f>J12*K12</f>
        <v>689.2</v>
      </c>
      <c r="M12" s="116">
        <f t="shared" si="8"/>
        <v>2412.2</v>
      </c>
      <c r="N12" s="139">
        <v>0.45</v>
      </c>
      <c r="O12" s="116">
        <f>M12*N12</f>
        <v>1085.49</v>
      </c>
      <c r="P12" s="145"/>
      <c r="Q12" s="120"/>
      <c r="R12" s="119"/>
      <c r="S12" s="116">
        <f t="shared" si="9"/>
        <v>0</v>
      </c>
      <c r="T12" s="118"/>
      <c r="U12" s="118"/>
      <c r="V12" s="118">
        <f>59.45/21*E12</f>
        <v>62.28</v>
      </c>
      <c r="W12" s="111"/>
      <c r="X12" s="118"/>
      <c r="Y12" s="121"/>
      <c r="Z12" s="116"/>
      <c r="AA12" s="121"/>
      <c r="AB12" s="116"/>
      <c r="AC12" s="124"/>
      <c r="AD12" s="116"/>
      <c r="AE12" s="124"/>
      <c r="AF12" s="122">
        <f t="shared" si="10"/>
        <v>3559.97</v>
      </c>
      <c r="AG12" s="123"/>
      <c r="AH12" s="165"/>
      <c r="AI12" s="118"/>
      <c r="AJ12" s="116"/>
      <c r="AK12" s="116">
        <f aca="true" t="shared" si="13" ref="AK12:AK17">AH12*18%</f>
        <v>0</v>
      </c>
      <c r="AL12" s="116"/>
      <c r="AM12" s="116"/>
      <c r="AN12" s="125">
        <f aca="true" t="shared" si="14" ref="AN12:AN18">SUM(AK12:AM12)</f>
        <v>0</v>
      </c>
      <c r="AO12" s="116">
        <f aca="true" t="shared" si="15" ref="AO12:AO18">AH12*1.5%</f>
        <v>0</v>
      </c>
      <c r="AP12" s="116"/>
      <c r="AQ12" s="125">
        <f aca="true" t="shared" si="16" ref="AQ12:AQ18">AO12+AP12</f>
        <v>0</v>
      </c>
      <c r="AR12" s="116"/>
      <c r="AS12" s="116"/>
      <c r="AT12" s="116">
        <f t="shared" si="0"/>
        <v>0</v>
      </c>
      <c r="AU12" s="116">
        <f t="shared" si="1"/>
        <v>0</v>
      </c>
      <c r="AV12" s="116">
        <f t="shared" si="2"/>
        <v>0</v>
      </c>
      <c r="AW12" s="125">
        <f t="shared" si="3"/>
        <v>0</v>
      </c>
      <c r="AX12" s="124">
        <f t="shared" si="4"/>
        <v>0</v>
      </c>
      <c r="AY12" s="124"/>
      <c r="AZ12" s="126">
        <f>SUM(AX12:AY12)</f>
        <v>0</v>
      </c>
      <c r="BA12" s="141"/>
      <c r="BB12" s="124"/>
      <c r="BC12" s="126">
        <f>SUM(BA12:BB12)</f>
        <v>0</v>
      </c>
      <c r="BD12" s="126">
        <f aca="true" t="shared" si="17" ref="BD12:BD18">AZ12+BC12</f>
        <v>0</v>
      </c>
      <c r="BE12" s="128">
        <f aca="true" t="shared" si="18" ref="BE12:BE18">AF12*22%</f>
        <v>783.19</v>
      </c>
      <c r="BF12" s="129"/>
    </row>
    <row r="13" spans="1:58" ht="74.25" customHeight="1">
      <c r="A13" s="136">
        <v>7</v>
      </c>
      <c r="B13" s="101" t="s">
        <v>74</v>
      </c>
      <c r="C13" s="108">
        <v>1</v>
      </c>
      <c r="D13" s="146" t="s">
        <v>50</v>
      </c>
      <c r="E13" s="115">
        <v>22</v>
      </c>
      <c r="F13" s="115">
        <v>175</v>
      </c>
      <c r="G13" s="138">
        <v>1723</v>
      </c>
      <c r="H13" s="117">
        <f t="shared" si="12"/>
        <v>1723</v>
      </c>
      <c r="I13" s="118"/>
      <c r="J13" s="118">
        <f t="shared" si="7"/>
        <v>1723</v>
      </c>
      <c r="K13" s="119"/>
      <c r="L13" s="116"/>
      <c r="M13" s="116">
        <f t="shared" si="8"/>
        <v>1723</v>
      </c>
      <c r="N13" s="139">
        <v>0.5</v>
      </c>
      <c r="O13" s="116">
        <f>M13*N13</f>
        <v>861.5</v>
      </c>
      <c r="P13" s="145"/>
      <c r="Q13" s="120"/>
      <c r="R13" s="119">
        <v>0.35</v>
      </c>
      <c r="S13" s="116">
        <f t="shared" si="9"/>
        <v>603.05</v>
      </c>
      <c r="T13" s="118"/>
      <c r="U13" s="118"/>
      <c r="V13" s="118">
        <f>50.75/21*E13</f>
        <v>53.17</v>
      </c>
      <c r="W13" s="111"/>
      <c r="X13" s="118"/>
      <c r="Y13" s="121"/>
      <c r="Z13" s="116"/>
      <c r="AA13" s="121"/>
      <c r="AB13" s="116"/>
      <c r="AC13" s="116"/>
      <c r="AD13" s="116"/>
      <c r="AE13" s="124">
        <v>1000</v>
      </c>
      <c r="AF13" s="122">
        <f t="shared" si="10"/>
        <v>4240.72</v>
      </c>
      <c r="AG13" s="123">
        <v>11</v>
      </c>
      <c r="AH13" s="165">
        <f>G13/22*AG13</f>
        <v>861.5</v>
      </c>
      <c r="AI13" s="118"/>
      <c r="AJ13" s="116"/>
      <c r="AK13" s="116">
        <f t="shared" si="13"/>
        <v>155.07</v>
      </c>
      <c r="AL13" s="116"/>
      <c r="AM13" s="116"/>
      <c r="AN13" s="125">
        <f t="shared" si="14"/>
        <v>155.07</v>
      </c>
      <c r="AO13" s="116">
        <f t="shared" si="15"/>
        <v>12.92</v>
      </c>
      <c r="AP13" s="116"/>
      <c r="AQ13" s="125">
        <f t="shared" si="16"/>
        <v>12.92</v>
      </c>
      <c r="AR13" s="125"/>
      <c r="AS13" s="116"/>
      <c r="AT13" s="116">
        <f t="shared" si="0"/>
        <v>0</v>
      </c>
      <c r="AU13" s="116">
        <f t="shared" si="1"/>
        <v>167.99</v>
      </c>
      <c r="AV13" s="116">
        <f t="shared" si="2"/>
        <v>0</v>
      </c>
      <c r="AW13" s="125">
        <f t="shared" si="3"/>
        <v>167.99</v>
      </c>
      <c r="AX13" s="124">
        <f t="shared" si="4"/>
        <v>693.51</v>
      </c>
      <c r="AY13" s="138"/>
      <c r="AZ13" s="126">
        <f t="shared" si="11"/>
        <v>693.51</v>
      </c>
      <c r="BA13" s="127"/>
      <c r="BB13" s="124"/>
      <c r="BC13" s="126">
        <f t="shared" si="5"/>
        <v>0</v>
      </c>
      <c r="BD13" s="126">
        <f t="shared" si="17"/>
        <v>693.51</v>
      </c>
      <c r="BE13" s="128">
        <f t="shared" si="18"/>
        <v>932.96</v>
      </c>
      <c r="BF13" s="129"/>
    </row>
    <row r="14" spans="1:58" ht="74.25" customHeight="1">
      <c r="A14" s="114">
        <v>8</v>
      </c>
      <c r="B14" s="101" t="s">
        <v>43</v>
      </c>
      <c r="C14" s="101">
        <v>1</v>
      </c>
      <c r="D14" s="101" t="s">
        <v>44</v>
      </c>
      <c r="E14" s="115">
        <v>22</v>
      </c>
      <c r="F14" s="115">
        <v>175</v>
      </c>
      <c r="G14" s="138">
        <v>1723</v>
      </c>
      <c r="H14" s="117">
        <f t="shared" si="12"/>
        <v>1723</v>
      </c>
      <c r="I14" s="118"/>
      <c r="J14" s="118">
        <f t="shared" si="7"/>
        <v>1723</v>
      </c>
      <c r="K14" s="119">
        <v>0.25</v>
      </c>
      <c r="L14" s="116">
        <f>J14*K14</f>
        <v>430.75</v>
      </c>
      <c r="M14" s="116">
        <f t="shared" si="8"/>
        <v>2153.75</v>
      </c>
      <c r="N14" s="139">
        <v>0.5</v>
      </c>
      <c r="O14" s="116">
        <f>M14*N14</f>
        <v>1076.88</v>
      </c>
      <c r="P14" s="116"/>
      <c r="Q14" s="120"/>
      <c r="R14" s="119">
        <v>0.1</v>
      </c>
      <c r="S14" s="116">
        <f t="shared" si="9"/>
        <v>172.3</v>
      </c>
      <c r="T14" s="118"/>
      <c r="U14" s="118"/>
      <c r="V14" s="118">
        <f>59.45/21*E14</f>
        <v>62.28</v>
      </c>
      <c r="W14" s="111"/>
      <c r="X14" s="118"/>
      <c r="Y14" s="121"/>
      <c r="Z14" s="116"/>
      <c r="AA14" s="121"/>
      <c r="AB14" s="116"/>
      <c r="AC14" s="116"/>
      <c r="AD14" s="116"/>
      <c r="AE14" s="124"/>
      <c r="AF14" s="122">
        <f t="shared" si="10"/>
        <v>3465.21</v>
      </c>
      <c r="AG14" s="123">
        <v>11</v>
      </c>
      <c r="AH14" s="165">
        <f>G14/22*AG14</f>
        <v>861.5</v>
      </c>
      <c r="AI14" s="118"/>
      <c r="AJ14" s="116"/>
      <c r="AK14" s="116">
        <f t="shared" si="13"/>
        <v>155.07</v>
      </c>
      <c r="AL14" s="116"/>
      <c r="AM14" s="116"/>
      <c r="AN14" s="125">
        <f t="shared" si="14"/>
        <v>155.07</v>
      </c>
      <c r="AO14" s="116">
        <f t="shared" si="15"/>
        <v>12.92</v>
      </c>
      <c r="AP14" s="116"/>
      <c r="AQ14" s="125">
        <f t="shared" si="16"/>
        <v>12.92</v>
      </c>
      <c r="AR14" s="147"/>
      <c r="AS14" s="116"/>
      <c r="AT14" s="116">
        <f t="shared" si="0"/>
        <v>0</v>
      </c>
      <c r="AU14" s="116">
        <f t="shared" si="1"/>
        <v>167.99</v>
      </c>
      <c r="AV14" s="116">
        <f t="shared" si="2"/>
        <v>0</v>
      </c>
      <c r="AW14" s="125">
        <f t="shared" si="3"/>
        <v>167.99</v>
      </c>
      <c r="AX14" s="124">
        <f t="shared" si="4"/>
        <v>693.51</v>
      </c>
      <c r="AY14" s="124"/>
      <c r="AZ14" s="126">
        <f t="shared" si="11"/>
        <v>693.51</v>
      </c>
      <c r="BA14" s="127"/>
      <c r="BB14" s="124"/>
      <c r="BC14" s="126">
        <f t="shared" si="5"/>
        <v>0</v>
      </c>
      <c r="BD14" s="126">
        <f t="shared" si="17"/>
        <v>693.51</v>
      </c>
      <c r="BE14" s="128">
        <f t="shared" si="18"/>
        <v>762.35</v>
      </c>
      <c r="BF14" s="129"/>
    </row>
    <row r="15" spans="1:58" ht="74.25" customHeight="1">
      <c r="A15" s="136">
        <v>9</v>
      </c>
      <c r="B15" s="101" t="s">
        <v>87</v>
      </c>
      <c r="C15" s="101">
        <v>1</v>
      </c>
      <c r="D15" s="101" t="s">
        <v>88</v>
      </c>
      <c r="E15" s="115">
        <v>22</v>
      </c>
      <c r="F15" s="115" t="s">
        <v>115</v>
      </c>
      <c r="G15" s="138">
        <v>1723</v>
      </c>
      <c r="H15" s="117">
        <f t="shared" si="12"/>
        <v>1723</v>
      </c>
      <c r="I15" s="118"/>
      <c r="J15" s="118">
        <f t="shared" si="7"/>
        <v>1723</v>
      </c>
      <c r="K15" s="119"/>
      <c r="L15" s="116"/>
      <c r="M15" s="116">
        <f t="shared" si="8"/>
        <v>1723</v>
      </c>
      <c r="N15" s="139">
        <v>0.5</v>
      </c>
      <c r="O15" s="116">
        <f>M15*N15</f>
        <v>861.5</v>
      </c>
      <c r="P15" s="116"/>
      <c r="Q15" s="120"/>
      <c r="R15" s="139">
        <v>0.5</v>
      </c>
      <c r="S15" s="116">
        <f t="shared" si="9"/>
        <v>861.5</v>
      </c>
      <c r="T15" s="138">
        <v>493.69</v>
      </c>
      <c r="U15" s="118"/>
      <c r="V15" s="118"/>
      <c r="W15" s="111"/>
      <c r="X15" s="118"/>
      <c r="Y15" s="121"/>
      <c r="Z15" s="116"/>
      <c r="AA15" s="121"/>
      <c r="AB15" s="116"/>
      <c r="AC15" s="116"/>
      <c r="AD15" s="116"/>
      <c r="AE15" s="124"/>
      <c r="AF15" s="122">
        <f t="shared" si="10"/>
        <v>3939.69</v>
      </c>
      <c r="AG15" s="123">
        <v>11</v>
      </c>
      <c r="AH15" s="165">
        <v>2000</v>
      </c>
      <c r="AI15" s="118"/>
      <c r="AJ15" s="138"/>
      <c r="AK15" s="116">
        <f t="shared" si="13"/>
        <v>360</v>
      </c>
      <c r="AL15" s="116"/>
      <c r="AM15" s="116"/>
      <c r="AN15" s="125">
        <f t="shared" si="14"/>
        <v>360</v>
      </c>
      <c r="AO15" s="116">
        <f t="shared" si="15"/>
        <v>30</v>
      </c>
      <c r="AP15" s="116"/>
      <c r="AQ15" s="125">
        <f t="shared" si="16"/>
        <v>30</v>
      </c>
      <c r="AR15" s="125"/>
      <c r="AS15" s="116"/>
      <c r="AT15" s="116">
        <f t="shared" si="0"/>
        <v>0</v>
      </c>
      <c r="AU15" s="116">
        <f t="shared" si="1"/>
        <v>390</v>
      </c>
      <c r="AV15" s="116">
        <f t="shared" si="2"/>
        <v>0</v>
      </c>
      <c r="AW15" s="125">
        <f t="shared" si="3"/>
        <v>390</v>
      </c>
      <c r="AX15" s="124">
        <f t="shared" si="4"/>
        <v>1610</v>
      </c>
      <c r="AY15" s="124"/>
      <c r="AZ15" s="126">
        <f t="shared" si="11"/>
        <v>1610</v>
      </c>
      <c r="BA15" s="127"/>
      <c r="BB15" s="124"/>
      <c r="BC15" s="126">
        <f t="shared" si="5"/>
        <v>0</v>
      </c>
      <c r="BD15" s="126">
        <f t="shared" si="17"/>
        <v>1610</v>
      </c>
      <c r="BE15" s="128">
        <f t="shared" si="18"/>
        <v>866.73</v>
      </c>
      <c r="BF15" s="129"/>
    </row>
    <row r="16" spans="1:58" ht="74.25" customHeight="1">
      <c r="A16" s="114">
        <v>10</v>
      </c>
      <c r="B16" s="101" t="s">
        <v>97</v>
      </c>
      <c r="C16" s="101">
        <v>0.5</v>
      </c>
      <c r="D16" s="101" t="s">
        <v>102</v>
      </c>
      <c r="E16" s="115"/>
      <c r="F16" s="115"/>
      <c r="G16" s="116">
        <v>725</v>
      </c>
      <c r="H16" s="117">
        <f t="shared" si="12"/>
        <v>0</v>
      </c>
      <c r="I16" s="118"/>
      <c r="J16" s="118">
        <f>H16+I16</f>
        <v>0</v>
      </c>
      <c r="K16" s="119"/>
      <c r="L16" s="116"/>
      <c r="M16" s="116">
        <f>J16+L16</f>
        <v>0</v>
      </c>
      <c r="N16" s="145"/>
      <c r="O16" s="116"/>
      <c r="P16" s="119">
        <v>0.1</v>
      </c>
      <c r="Q16" s="120">
        <f>J16*P16</f>
        <v>0</v>
      </c>
      <c r="R16" s="119"/>
      <c r="S16" s="116">
        <f t="shared" si="9"/>
        <v>0</v>
      </c>
      <c r="T16" s="118"/>
      <c r="U16" s="118"/>
      <c r="V16" s="118"/>
      <c r="W16" s="111">
        <v>5</v>
      </c>
      <c r="X16" s="118">
        <v>183</v>
      </c>
      <c r="Y16" s="121"/>
      <c r="Z16" s="116"/>
      <c r="AA16" s="121"/>
      <c r="AB16" s="116"/>
      <c r="AC16" s="116"/>
      <c r="AD16" s="116"/>
      <c r="AE16" s="116"/>
      <c r="AF16" s="122">
        <f>AB16+Z16+X16+V16+S16+Q16+O16+M16+T16+AC16+AE16+U16+AD16</f>
        <v>183</v>
      </c>
      <c r="AG16" s="123"/>
      <c r="AH16" s="165">
        <f>AF16</f>
        <v>183</v>
      </c>
      <c r="AI16" s="118"/>
      <c r="AJ16" s="117"/>
      <c r="AK16" s="116"/>
      <c r="AL16" s="116"/>
      <c r="AM16" s="116"/>
      <c r="AN16" s="125">
        <f t="shared" si="14"/>
        <v>0</v>
      </c>
      <c r="AO16" s="116">
        <f t="shared" si="15"/>
        <v>2.75</v>
      </c>
      <c r="AP16" s="116"/>
      <c r="AQ16" s="125">
        <f t="shared" si="16"/>
        <v>2.75</v>
      </c>
      <c r="AR16" s="116">
        <f>AH16*1%</f>
        <v>1.83</v>
      </c>
      <c r="AS16" s="116"/>
      <c r="AT16" s="116">
        <f t="shared" si="0"/>
        <v>1.83</v>
      </c>
      <c r="AU16" s="116">
        <f t="shared" si="1"/>
        <v>4.58</v>
      </c>
      <c r="AV16" s="116">
        <f t="shared" si="2"/>
        <v>0</v>
      </c>
      <c r="AW16" s="125">
        <f t="shared" si="3"/>
        <v>4.58</v>
      </c>
      <c r="AX16" s="124">
        <f t="shared" si="4"/>
        <v>178.42</v>
      </c>
      <c r="AY16" s="124"/>
      <c r="AZ16" s="126">
        <f t="shared" si="11"/>
        <v>178.42</v>
      </c>
      <c r="BA16" s="127"/>
      <c r="BB16" s="124"/>
      <c r="BC16" s="126">
        <f>SUM(BA16:BB16)</f>
        <v>0</v>
      </c>
      <c r="BD16" s="126">
        <f t="shared" si="17"/>
        <v>178.42</v>
      </c>
      <c r="BE16" s="128">
        <f t="shared" si="18"/>
        <v>40.26</v>
      </c>
      <c r="BF16" s="129"/>
    </row>
    <row r="17" spans="1:58" ht="74.25" customHeight="1">
      <c r="A17" s="136">
        <v>11</v>
      </c>
      <c r="B17" s="101" t="s">
        <v>108</v>
      </c>
      <c r="C17" s="101">
        <v>1</v>
      </c>
      <c r="D17" s="101" t="s">
        <v>95</v>
      </c>
      <c r="E17" s="115">
        <v>22</v>
      </c>
      <c r="F17" s="115">
        <v>175</v>
      </c>
      <c r="G17" s="116">
        <v>1450</v>
      </c>
      <c r="H17" s="117">
        <f t="shared" si="12"/>
        <v>1450</v>
      </c>
      <c r="I17" s="118"/>
      <c r="J17" s="118">
        <f t="shared" si="7"/>
        <v>1450</v>
      </c>
      <c r="K17" s="119"/>
      <c r="L17" s="116"/>
      <c r="M17" s="116">
        <f t="shared" si="8"/>
        <v>1450</v>
      </c>
      <c r="N17" s="116"/>
      <c r="O17" s="116"/>
      <c r="P17" s="145">
        <v>0.1</v>
      </c>
      <c r="Q17" s="120">
        <f>J17*P17</f>
        <v>145</v>
      </c>
      <c r="R17" s="139">
        <v>0.7</v>
      </c>
      <c r="S17" s="138">
        <f t="shared" si="9"/>
        <v>1015</v>
      </c>
      <c r="T17" s="118"/>
      <c r="U17" s="118"/>
      <c r="V17" s="118"/>
      <c r="W17" s="111"/>
      <c r="X17" s="118"/>
      <c r="Y17" s="121"/>
      <c r="Z17" s="116"/>
      <c r="AA17" s="121"/>
      <c r="AB17" s="116"/>
      <c r="AC17" s="116"/>
      <c r="AD17" s="116"/>
      <c r="AE17" s="116"/>
      <c r="AF17" s="122">
        <f t="shared" si="10"/>
        <v>2610</v>
      </c>
      <c r="AG17" s="123">
        <v>11</v>
      </c>
      <c r="AH17" s="165">
        <f>G17/22*AG17</f>
        <v>725</v>
      </c>
      <c r="AI17" s="118"/>
      <c r="AJ17" s="138"/>
      <c r="AK17" s="116">
        <f t="shared" si="13"/>
        <v>130.5</v>
      </c>
      <c r="AL17" s="116"/>
      <c r="AM17" s="116"/>
      <c r="AN17" s="125">
        <f>SUM(AK17:AM17)</f>
        <v>130.5</v>
      </c>
      <c r="AO17" s="116">
        <f t="shared" si="15"/>
        <v>10.88</v>
      </c>
      <c r="AP17" s="116"/>
      <c r="AQ17" s="125">
        <f t="shared" si="16"/>
        <v>10.88</v>
      </c>
      <c r="AR17" s="125"/>
      <c r="AS17" s="116"/>
      <c r="AT17" s="116">
        <f t="shared" si="0"/>
        <v>0</v>
      </c>
      <c r="AU17" s="116">
        <f t="shared" si="1"/>
        <v>141.38</v>
      </c>
      <c r="AV17" s="116">
        <f t="shared" si="2"/>
        <v>0</v>
      </c>
      <c r="AW17" s="125">
        <f t="shared" si="3"/>
        <v>141.38</v>
      </c>
      <c r="AX17" s="124">
        <f t="shared" si="4"/>
        <v>583.62</v>
      </c>
      <c r="AY17" s="124"/>
      <c r="AZ17" s="126">
        <f t="shared" si="11"/>
        <v>583.62</v>
      </c>
      <c r="BA17" s="127"/>
      <c r="BB17" s="124"/>
      <c r="BC17" s="126">
        <f t="shared" si="5"/>
        <v>0</v>
      </c>
      <c r="BD17" s="126">
        <f t="shared" si="17"/>
        <v>583.62</v>
      </c>
      <c r="BE17" s="128">
        <f t="shared" si="18"/>
        <v>574.2</v>
      </c>
      <c r="BF17" s="129"/>
    </row>
    <row r="18" spans="1:58" ht="74.25" customHeight="1">
      <c r="A18" s="114">
        <v>12</v>
      </c>
      <c r="B18" s="101" t="s">
        <v>59</v>
      </c>
      <c r="C18" s="101">
        <v>1</v>
      </c>
      <c r="D18" s="101" t="s">
        <v>95</v>
      </c>
      <c r="E18" s="115">
        <v>17</v>
      </c>
      <c r="F18" s="115">
        <v>136</v>
      </c>
      <c r="G18" s="116">
        <v>1450</v>
      </c>
      <c r="H18" s="117">
        <f t="shared" si="12"/>
        <v>1120.45</v>
      </c>
      <c r="I18" s="118"/>
      <c r="J18" s="118">
        <f>H18</f>
        <v>1120.45</v>
      </c>
      <c r="K18" s="119"/>
      <c r="L18" s="116"/>
      <c r="M18" s="116">
        <f t="shared" si="8"/>
        <v>1120.45</v>
      </c>
      <c r="N18" s="116"/>
      <c r="O18" s="116"/>
      <c r="P18" s="145">
        <v>0.1</v>
      </c>
      <c r="Q18" s="120">
        <f>J18*P18</f>
        <v>112.05</v>
      </c>
      <c r="R18" s="139">
        <v>0.7</v>
      </c>
      <c r="S18" s="138">
        <f t="shared" si="9"/>
        <v>784.32</v>
      </c>
      <c r="T18" s="118"/>
      <c r="U18" s="118"/>
      <c r="V18" s="118"/>
      <c r="W18" s="111"/>
      <c r="X18" s="118"/>
      <c r="Y18" s="121"/>
      <c r="Z18" s="116"/>
      <c r="AA18" s="169">
        <v>5</v>
      </c>
      <c r="AB18" s="168"/>
      <c r="AC18" s="116"/>
      <c r="AD18" s="116"/>
      <c r="AE18" s="116"/>
      <c r="AF18" s="122">
        <f t="shared" si="10"/>
        <v>2016.82</v>
      </c>
      <c r="AG18" s="123">
        <v>6</v>
      </c>
      <c r="AH18" s="165">
        <f>G18/22*AG18</f>
        <v>395.45</v>
      </c>
      <c r="AI18" s="118"/>
      <c r="AJ18" s="117">
        <v>1033.5</v>
      </c>
      <c r="AK18" s="116">
        <f>AH18*18%/2</f>
        <v>35.59</v>
      </c>
      <c r="AL18" s="116"/>
      <c r="AM18" s="116"/>
      <c r="AN18" s="125">
        <f t="shared" si="14"/>
        <v>35.59</v>
      </c>
      <c r="AO18" s="116">
        <f t="shared" si="15"/>
        <v>5.93</v>
      </c>
      <c r="AP18" s="116"/>
      <c r="AQ18" s="125">
        <f t="shared" si="16"/>
        <v>5.93</v>
      </c>
      <c r="AR18" s="125"/>
      <c r="AS18" s="116"/>
      <c r="AT18" s="116">
        <f t="shared" si="0"/>
        <v>0</v>
      </c>
      <c r="AU18" s="116">
        <f t="shared" si="1"/>
        <v>41.52</v>
      </c>
      <c r="AV18" s="116">
        <f t="shared" si="2"/>
        <v>0</v>
      </c>
      <c r="AW18" s="125">
        <f t="shared" si="3"/>
        <v>41.52</v>
      </c>
      <c r="AX18" s="124">
        <f t="shared" si="4"/>
        <v>353.93</v>
      </c>
      <c r="AY18" s="124"/>
      <c r="AZ18" s="126">
        <f t="shared" si="11"/>
        <v>353.93</v>
      </c>
      <c r="BA18" s="127"/>
      <c r="BB18" s="124"/>
      <c r="BC18" s="126">
        <f t="shared" si="5"/>
        <v>0</v>
      </c>
      <c r="BD18" s="126">
        <f t="shared" si="17"/>
        <v>353.93</v>
      </c>
      <c r="BE18" s="128">
        <f t="shared" si="18"/>
        <v>443.7</v>
      </c>
      <c r="BF18" s="129"/>
    </row>
    <row r="19" spans="1:58" ht="74.25" customHeight="1">
      <c r="A19" s="114"/>
      <c r="B19" s="148" t="s">
        <v>12</v>
      </c>
      <c r="C19" s="148">
        <f>SUM(C12:C18)</f>
        <v>6.5</v>
      </c>
      <c r="D19" s="148"/>
      <c r="E19" s="115"/>
      <c r="F19" s="149">
        <v>964</v>
      </c>
      <c r="G19" s="157">
        <f>SUM(G11:G18)</f>
        <v>12240</v>
      </c>
      <c r="H19" s="157">
        <f>SUM(H11:H18)</f>
        <v>11185.45</v>
      </c>
      <c r="I19" s="157">
        <f>SUM(I11:I18)</f>
        <v>0</v>
      </c>
      <c r="J19" s="157">
        <f>SUM(J11:J18)</f>
        <v>11185.45</v>
      </c>
      <c r="K19" s="157"/>
      <c r="L19" s="157">
        <f>SUM(L11:L18)</f>
        <v>1119.95</v>
      </c>
      <c r="M19" s="157">
        <f>SUM(M11:M18)</f>
        <v>12305.4</v>
      </c>
      <c r="N19" s="157"/>
      <c r="O19" s="157">
        <f>SUM(O11:O18)</f>
        <v>4746.87</v>
      </c>
      <c r="P19" s="157"/>
      <c r="Q19" s="157">
        <f>SUM(Q11:Q18)</f>
        <v>257.05</v>
      </c>
      <c r="R19" s="157"/>
      <c r="S19" s="157">
        <f aca="true" t="shared" si="19" ref="S19:Z19">SUM(S11:S18)</f>
        <v>4039.22</v>
      </c>
      <c r="T19" s="157">
        <f t="shared" si="19"/>
        <v>493.69</v>
      </c>
      <c r="U19" s="157">
        <f t="shared" si="19"/>
        <v>0</v>
      </c>
      <c r="V19" s="157">
        <f t="shared" si="19"/>
        <v>240.01</v>
      </c>
      <c r="W19" s="157">
        <f t="shared" si="19"/>
        <v>5</v>
      </c>
      <c r="X19" s="157">
        <f t="shared" si="19"/>
        <v>183</v>
      </c>
      <c r="Y19" s="157">
        <f t="shared" si="19"/>
        <v>0</v>
      </c>
      <c r="Z19" s="157">
        <f t="shared" si="19"/>
        <v>0</v>
      </c>
      <c r="AA19" s="159"/>
      <c r="AB19" s="157">
        <f>SUM(AB11:AB18)</f>
        <v>0</v>
      </c>
      <c r="AC19" s="157">
        <f>SUM(AC11:AC18)</f>
        <v>0</v>
      </c>
      <c r="AD19" s="157">
        <f>SUM(AD11:AD18)</f>
        <v>0</v>
      </c>
      <c r="AE19" s="157">
        <f>SUM(AE11:AE18)</f>
        <v>1000</v>
      </c>
      <c r="AF19" s="157">
        <f>SUM(AF11:AF18)</f>
        <v>23265.24</v>
      </c>
      <c r="AG19" s="157"/>
      <c r="AH19" s="157">
        <f aca="true" t="shared" si="20" ref="AH19:BE19">SUM(AH11:AH18)</f>
        <v>5887.95</v>
      </c>
      <c r="AI19" s="157">
        <f t="shared" si="20"/>
        <v>0</v>
      </c>
      <c r="AJ19" s="157">
        <f t="shared" si="20"/>
        <v>1033.5</v>
      </c>
      <c r="AK19" s="157">
        <f t="shared" si="20"/>
        <v>991.3</v>
      </c>
      <c r="AL19" s="157">
        <f t="shared" si="20"/>
        <v>0</v>
      </c>
      <c r="AM19" s="157">
        <f t="shared" si="20"/>
        <v>0</v>
      </c>
      <c r="AN19" s="157">
        <f t="shared" si="20"/>
        <v>991.3</v>
      </c>
      <c r="AO19" s="157">
        <f t="shared" si="20"/>
        <v>88.32</v>
      </c>
      <c r="AP19" s="157">
        <f t="shared" si="20"/>
        <v>0</v>
      </c>
      <c r="AQ19" s="157">
        <f t="shared" si="20"/>
        <v>88.32</v>
      </c>
      <c r="AR19" s="157">
        <f t="shared" si="20"/>
        <v>1.83</v>
      </c>
      <c r="AS19" s="157">
        <f t="shared" si="20"/>
        <v>0</v>
      </c>
      <c r="AT19" s="157">
        <f t="shared" si="20"/>
        <v>1.83</v>
      </c>
      <c r="AU19" s="157">
        <f t="shared" si="20"/>
        <v>1081.45</v>
      </c>
      <c r="AV19" s="157">
        <f t="shared" si="20"/>
        <v>0</v>
      </c>
      <c r="AW19" s="157">
        <f t="shared" si="20"/>
        <v>1081.45</v>
      </c>
      <c r="AX19" s="157">
        <f t="shared" si="20"/>
        <v>4806.5</v>
      </c>
      <c r="AY19" s="157">
        <f t="shared" si="20"/>
        <v>0</v>
      </c>
      <c r="AZ19" s="157">
        <f t="shared" si="20"/>
        <v>4806.5</v>
      </c>
      <c r="BA19" s="157">
        <f t="shared" si="20"/>
        <v>0</v>
      </c>
      <c r="BB19" s="157">
        <f t="shared" si="20"/>
        <v>0</v>
      </c>
      <c r="BC19" s="157">
        <f t="shared" si="20"/>
        <v>0</v>
      </c>
      <c r="BD19" s="157">
        <f t="shared" si="20"/>
        <v>4806.5</v>
      </c>
      <c r="BE19" s="157">
        <f t="shared" si="20"/>
        <v>5118.35</v>
      </c>
      <c r="BF19" s="129"/>
    </row>
    <row r="20" spans="1:58" ht="74.25" customHeight="1">
      <c r="A20" s="114"/>
      <c r="B20" s="148" t="s">
        <v>3</v>
      </c>
      <c r="C20" s="148">
        <f>C19+C10</f>
        <v>10.5</v>
      </c>
      <c r="D20" s="148"/>
      <c r="E20" s="149"/>
      <c r="F20" s="149">
        <f>F19+F10</f>
        <v>1466</v>
      </c>
      <c r="G20" s="126">
        <f>G19+G10</f>
        <v>21270</v>
      </c>
      <c r="H20" s="126">
        <f>H10+H19</f>
        <v>17236.41</v>
      </c>
      <c r="I20" s="134">
        <f>I19+I10</f>
        <v>202.05</v>
      </c>
      <c r="J20" s="134">
        <f>J19+J10</f>
        <v>17438.46</v>
      </c>
      <c r="K20" s="150"/>
      <c r="L20" s="134">
        <f>L19+L10</f>
        <v>2740.85</v>
      </c>
      <c r="M20" s="134">
        <f>M19+M10</f>
        <v>20179.31</v>
      </c>
      <c r="N20" s="134"/>
      <c r="O20" s="134">
        <f>O19+O10</f>
        <v>4746.87</v>
      </c>
      <c r="P20" s="134"/>
      <c r="Q20" s="134">
        <f>Q19+Q10</f>
        <v>257.05</v>
      </c>
      <c r="R20" s="134"/>
      <c r="S20" s="134">
        <f aca="true" t="shared" si="21" ref="S20:Z20">S19+S10</f>
        <v>9237.36</v>
      </c>
      <c r="T20" s="134">
        <f t="shared" si="21"/>
        <v>493.69</v>
      </c>
      <c r="U20" s="134">
        <f t="shared" si="21"/>
        <v>0</v>
      </c>
      <c r="V20" s="134">
        <f t="shared" si="21"/>
        <v>275.14</v>
      </c>
      <c r="W20" s="135">
        <f t="shared" si="21"/>
        <v>5</v>
      </c>
      <c r="X20" s="134">
        <f t="shared" si="21"/>
        <v>183</v>
      </c>
      <c r="Y20" s="135">
        <f t="shared" si="21"/>
        <v>0</v>
      </c>
      <c r="Z20" s="134">
        <f t="shared" si="21"/>
        <v>0</v>
      </c>
      <c r="AA20" s="158"/>
      <c r="AB20" s="134">
        <f>AB19+AB10</f>
        <v>4607.33</v>
      </c>
      <c r="AC20" s="134">
        <f>AC19+AC10</f>
        <v>805.83</v>
      </c>
      <c r="AD20" s="134">
        <f>AD19+AD10</f>
        <v>10227.8</v>
      </c>
      <c r="AE20" s="134">
        <f>AE19+AE10</f>
        <v>1000</v>
      </c>
      <c r="AF20" s="134">
        <f>AF19+AF10</f>
        <v>52013.38</v>
      </c>
      <c r="AG20" s="134"/>
      <c r="AH20" s="134">
        <f aca="true" t="shared" si="22" ref="AH20:AY20">AH19+AH10</f>
        <v>25529.29</v>
      </c>
      <c r="AI20" s="134">
        <f t="shared" si="22"/>
        <v>0</v>
      </c>
      <c r="AJ20" s="134">
        <f t="shared" si="22"/>
        <v>1033.5</v>
      </c>
      <c r="AK20" s="134">
        <f t="shared" si="22"/>
        <v>4526.74</v>
      </c>
      <c r="AL20" s="134">
        <f t="shared" si="22"/>
        <v>0</v>
      </c>
      <c r="AM20" s="134">
        <f t="shared" si="22"/>
        <v>0</v>
      </c>
      <c r="AN20" s="134">
        <f t="shared" si="22"/>
        <v>4526.74</v>
      </c>
      <c r="AO20" s="134">
        <f t="shared" si="22"/>
        <v>382.94</v>
      </c>
      <c r="AP20" s="134">
        <f t="shared" si="22"/>
        <v>0</v>
      </c>
      <c r="AQ20" s="134">
        <f t="shared" si="22"/>
        <v>382.94</v>
      </c>
      <c r="AR20" s="134">
        <f t="shared" si="22"/>
        <v>189.63</v>
      </c>
      <c r="AS20" s="134">
        <f t="shared" si="22"/>
        <v>0</v>
      </c>
      <c r="AT20" s="134">
        <f t="shared" si="22"/>
        <v>189.63</v>
      </c>
      <c r="AU20" s="134">
        <f t="shared" si="22"/>
        <v>5099.31</v>
      </c>
      <c r="AV20" s="134">
        <f t="shared" si="22"/>
        <v>0</v>
      </c>
      <c r="AW20" s="134">
        <f t="shared" si="22"/>
        <v>5099.31</v>
      </c>
      <c r="AX20" s="134">
        <f t="shared" si="22"/>
        <v>20429.98</v>
      </c>
      <c r="AY20" s="134">
        <f t="shared" si="22"/>
        <v>0</v>
      </c>
      <c r="AZ20" s="126">
        <f>SUM(AX20:AY20)</f>
        <v>20429.98</v>
      </c>
      <c r="BA20" s="134">
        <f>BA19+BA10</f>
        <v>0</v>
      </c>
      <c r="BB20" s="134">
        <f>BB19+BB10</f>
        <v>0</v>
      </c>
      <c r="BC20" s="126">
        <f t="shared" si="5"/>
        <v>0</v>
      </c>
      <c r="BD20" s="126">
        <f>AZ20+BC20</f>
        <v>20429.98</v>
      </c>
      <c r="BE20" s="128">
        <f>AF20*22%</f>
        <v>11442.94</v>
      </c>
      <c r="BF20" s="129"/>
    </row>
    <row r="21" spans="1:58" ht="74.25" customHeight="1">
      <c r="A21" s="136"/>
      <c r="B21" s="101" t="s">
        <v>97</v>
      </c>
      <c r="C21" s="101">
        <v>0.5</v>
      </c>
      <c r="D21" s="101" t="s">
        <v>102</v>
      </c>
      <c r="E21" s="115"/>
      <c r="F21" s="115"/>
      <c r="G21" s="138"/>
      <c r="H21" s="117">
        <f>G21/21*E21</f>
        <v>0</v>
      </c>
      <c r="I21" s="118"/>
      <c r="J21" s="118"/>
      <c r="K21" s="119"/>
      <c r="L21" s="116"/>
      <c r="M21" s="116"/>
      <c r="N21" s="139"/>
      <c r="O21" s="116"/>
      <c r="P21" s="145"/>
      <c r="Q21" s="120"/>
      <c r="R21" s="119"/>
      <c r="S21" s="116"/>
      <c r="T21" s="118"/>
      <c r="U21" s="118"/>
      <c r="V21" s="118"/>
      <c r="W21" s="111"/>
      <c r="X21" s="118"/>
      <c r="Y21" s="121">
        <v>8</v>
      </c>
      <c r="Z21" s="116">
        <v>292.8</v>
      </c>
      <c r="AA21" s="121"/>
      <c r="AB21" s="116"/>
      <c r="AC21" s="116"/>
      <c r="AD21" s="116"/>
      <c r="AE21" s="124"/>
      <c r="AF21" s="122">
        <f>AB21+Z21+X21+V21+S21+Q21+O21+M21+T21+AC21+AE21+U21+AD21</f>
        <v>292.8</v>
      </c>
      <c r="AG21" s="123"/>
      <c r="AH21" s="160">
        <f>AF21</f>
        <v>292.8</v>
      </c>
      <c r="AI21" s="118">
        <f>AF21-AH21</f>
        <v>0</v>
      </c>
      <c r="AJ21" s="116"/>
      <c r="AK21" s="116">
        <f>AH21*18%</f>
        <v>52.7</v>
      </c>
      <c r="AL21" s="116">
        <f>(AF21-AJ21)*18%-AK21</f>
        <v>0</v>
      </c>
      <c r="AM21" s="116"/>
      <c r="AN21" s="125">
        <f>SUM(AK21:AM21)</f>
        <v>52.7</v>
      </c>
      <c r="AO21" s="116">
        <f>AH21*1.5%</f>
        <v>4.39</v>
      </c>
      <c r="AP21" s="116">
        <f>AF21*1.5%-AO21</f>
        <v>0</v>
      </c>
      <c r="AQ21" s="125">
        <f>AO21+AP21</f>
        <v>4.39</v>
      </c>
      <c r="AR21" s="116">
        <f>AH21*1%</f>
        <v>2.93</v>
      </c>
      <c r="AS21" s="116"/>
      <c r="AT21" s="116"/>
      <c r="AU21" s="116">
        <f>AK21+AO21+AR21</f>
        <v>60.02</v>
      </c>
      <c r="AV21" s="116">
        <f>AL21+AM21+AP21+AS21</f>
        <v>0</v>
      </c>
      <c r="AW21" s="125">
        <f>AN21+AQ21+AR21</f>
        <v>60.02</v>
      </c>
      <c r="AX21" s="124">
        <f>AH21-(AK21+AO21+AR21)</f>
        <v>232.78</v>
      </c>
      <c r="AY21" s="138"/>
      <c r="AZ21" s="126">
        <f>SUM(AX21:AY21)</f>
        <v>232.78</v>
      </c>
      <c r="BA21" s="127"/>
      <c r="BB21" s="124"/>
      <c r="BC21" s="126">
        <f>SUM(BA21:BB21)</f>
        <v>0</v>
      </c>
      <c r="BD21" s="126">
        <f>AZ21+BC21</f>
        <v>232.78</v>
      </c>
      <c r="BE21" s="128">
        <f>AF21*22%</f>
        <v>64.42</v>
      </c>
      <c r="BF21" s="129"/>
    </row>
    <row r="22" spans="1:58" ht="74.2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0"/>
      <c r="U22" s="110"/>
      <c r="V22" s="110"/>
      <c r="W22" s="110"/>
      <c r="X22" s="110"/>
      <c r="Y22" s="114"/>
      <c r="Z22" s="114"/>
      <c r="AA22" s="114"/>
      <c r="AB22" s="114"/>
      <c r="AC22" s="114"/>
      <c r="AD22" s="114"/>
      <c r="AE22" s="114"/>
      <c r="AF22" s="128"/>
      <c r="AG22" s="128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6"/>
      <c r="AZ22" s="116"/>
      <c r="BA22" s="114"/>
      <c r="BB22" s="151"/>
      <c r="BC22" s="116"/>
      <c r="BD22" s="116"/>
      <c r="BE22" s="128">
        <f>BE21+BE20</f>
        <v>11507.36</v>
      </c>
      <c r="BF22" s="129"/>
    </row>
    <row r="23" spans="20:58" ht="74.25" customHeight="1">
      <c r="T23" s="143"/>
      <c r="U23" s="143"/>
      <c r="V23" s="143"/>
      <c r="W23" s="143"/>
      <c r="X23" s="143"/>
      <c r="AF23" s="152"/>
      <c r="BE23" s="99">
        <v>143.55</v>
      </c>
      <c r="BF23" s="129"/>
    </row>
    <row r="24" spans="20:58" ht="74.25" customHeight="1">
      <c r="T24" s="143"/>
      <c r="U24" s="143"/>
      <c r="V24" s="143"/>
      <c r="W24" s="143"/>
      <c r="X24" s="143"/>
      <c r="BE24" s="163">
        <f>BE22+BE23</f>
        <v>11650.91</v>
      </c>
      <c r="BF24" s="129"/>
    </row>
    <row r="25" spans="20:58" ht="74.25" customHeight="1">
      <c r="T25" s="143"/>
      <c r="U25" s="143"/>
      <c r="V25" s="143"/>
      <c r="W25" s="143"/>
      <c r="X25" s="143"/>
      <c r="BF25" s="129"/>
    </row>
    <row r="26" spans="20:58" ht="74.25" customHeight="1">
      <c r="T26" s="143"/>
      <c r="U26" s="143"/>
      <c r="V26" s="143"/>
      <c r="W26" s="143"/>
      <c r="X26" s="143"/>
      <c r="BF26" s="129"/>
    </row>
    <row r="27" spans="20:58" ht="74.25" customHeight="1">
      <c r="T27" s="143"/>
      <c r="U27" s="143"/>
      <c r="V27" s="143"/>
      <c r="W27" s="143"/>
      <c r="X27" s="143"/>
      <c r="BF27" s="129"/>
    </row>
    <row r="28" spans="20:58" ht="74.25" customHeight="1">
      <c r="T28" s="143"/>
      <c r="U28" s="143"/>
      <c r="V28" s="143"/>
      <c r="W28" s="143"/>
      <c r="X28" s="143"/>
      <c r="BF28" s="129"/>
    </row>
    <row r="29" spans="20:58" ht="74.25" customHeight="1">
      <c r="T29" s="143"/>
      <c r="U29" s="143"/>
      <c r="V29" s="143"/>
      <c r="W29" s="143"/>
      <c r="X29" s="143"/>
      <c r="BF29" s="129"/>
    </row>
    <row r="30" spans="20:58" ht="74.25" customHeight="1">
      <c r="T30" s="143"/>
      <c r="U30" s="143"/>
      <c r="V30" s="143"/>
      <c r="W30" s="143"/>
      <c r="X30" s="143"/>
      <c r="BF30" s="129"/>
    </row>
    <row r="31" spans="20:58" ht="74.25" customHeight="1">
      <c r="T31" s="143"/>
      <c r="U31" s="143"/>
      <c r="V31" s="143"/>
      <c r="W31" s="143"/>
      <c r="X31" s="143"/>
      <c r="BF31" s="129"/>
    </row>
    <row r="32" spans="20:58" ht="74.25" customHeight="1">
      <c r="T32" s="143"/>
      <c r="U32" s="143"/>
      <c r="V32" s="143"/>
      <c r="W32" s="143"/>
      <c r="X32" s="143"/>
      <c r="BF32" s="129"/>
    </row>
    <row r="33" spans="20:58" ht="74.25" customHeight="1">
      <c r="T33" s="143"/>
      <c r="U33" s="143"/>
      <c r="V33" s="143"/>
      <c r="W33" s="143"/>
      <c r="X33" s="143"/>
      <c r="BF33" s="129"/>
    </row>
    <row r="34" spans="20:24" ht="74.25" customHeight="1">
      <c r="T34" s="143"/>
      <c r="U34" s="143"/>
      <c r="V34" s="143"/>
      <c r="W34" s="143"/>
      <c r="X34" s="143"/>
    </row>
    <row r="35" spans="20:24" ht="74.25" customHeight="1">
      <c r="T35" s="143"/>
      <c r="U35" s="143"/>
      <c r="V35" s="143"/>
      <c r="W35" s="143"/>
      <c r="X35" s="143"/>
    </row>
    <row r="36" spans="20:24" ht="74.25" customHeight="1">
      <c r="T36" s="143"/>
      <c r="U36" s="143"/>
      <c r="V36" s="143"/>
      <c r="W36" s="143"/>
      <c r="X36" s="143"/>
    </row>
    <row r="37" spans="20:24" ht="74.25" customHeight="1">
      <c r="T37" s="143"/>
      <c r="U37" s="143"/>
      <c r="V37" s="143"/>
      <c r="W37" s="143"/>
      <c r="X37" s="143"/>
    </row>
    <row r="38" spans="20:24" ht="74.25" customHeight="1">
      <c r="T38" s="143"/>
      <c r="U38" s="143"/>
      <c r="V38" s="143"/>
      <c r="W38" s="143"/>
      <c r="X38" s="143"/>
    </row>
  </sheetData>
  <sheetProtection/>
  <mergeCells count="49">
    <mergeCell ref="AM4:AM5"/>
    <mergeCell ref="AN4:AN5"/>
    <mergeCell ref="AO4:AP4"/>
    <mergeCell ref="AQ4:AQ5"/>
    <mergeCell ref="AJ3:AW3"/>
    <mergeCell ref="AX3:BC3"/>
    <mergeCell ref="AR4:AS4"/>
    <mergeCell ref="AT4:AT5"/>
    <mergeCell ref="AU4:AW4"/>
    <mergeCell ref="AJ4:AJ5"/>
    <mergeCell ref="BD3:BD5"/>
    <mergeCell ref="AX4:AY4"/>
    <mergeCell ref="AZ4:AZ5"/>
    <mergeCell ref="BA4:BB4"/>
    <mergeCell ref="BC4:BC5"/>
    <mergeCell ref="BE3:BE5"/>
    <mergeCell ref="AK4:AL4"/>
    <mergeCell ref="AD3:AD5"/>
    <mergeCell ref="AE3:AE5"/>
    <mergeCell ref="AF3:AF5"/>
    <mergeCell ref="AG3:AG5"/>
    <mergeCell ref="AH3:AH5"/>
    <mergeCell ref="AI3:AI5"/>
    <mergeCell ref="T3:T5"/>
    <mergeCell ref="U3:U5"/>
    <mergeCell ref="V3:V5"/>
    <mergeCell ref="W3:Z3"/>
    <mergeCell ref="AA3:AB4"/>
    <mergeCell ref="AC3:AC5"/>
    <mergeCell ref="W4:X4"/>
    <mergeCell ref="Y4:Z4"/>
    <mergeCell ref="I3:I5"/>
    <mergeCell ref="J3:J5"/>
    <mergeCell ref="K3:L4"/>
    <mergeCell ref="M3:M5"/>
    <mergeCell ref="N3:Q3"/>
    <mergeCell ref="R3:S4"/>
    <mergeCell ref="N4:O4"/>
    <mergeCell ref="P4:Q4"/>
    <mergeCell ref="A1:Z1"/>
    <mergeCell ref="AF1:BC1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" right="0" top="0" bottom="0" header="0.31496062992125984" footer="0.31496062992125984"/>
  <pageSetup fitToWidth="2" fitToHeight="1" horizontalDpi="600" verticalDpi="600" orientation="landscape" paperSize="9" scale="2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4"/>
  <sheetViews>
    <sheetView tabSelected="1" view="pageBreakPreview" zoomScale="60" zoomScaleNormal="50" zoomScalePageLayoutView="0" workbookViewId="0" topLeftCell="E1">
      <selection activeCell="AN6" sqref="AN6"/>
    </sheetView>
  </sheetViews>
  <sheetFormatPr defaultColWidth="15.7109375" defaultRowHeight="74.25" customHeight="1"/>
  <cols>
    <col min="1" max="1" width="6.00390625" style="222" customWidth="1"/>
    <col min="2" max="2" width="30.57421875" style="222" customWidth="1"/>
    <col min="3" max="5" width="25.8515625" style="222" customWidth="1"/>
    <col min="6" max="6" width="19.57421875" style="222" customWidth="1"/>
    <col min="7" max="7" width="17.57421875" style="222" customWidth="1"/>
    <col min="8" max="8" width="11.28125" style="222" customWidth="1"/>
    <col min="9" max="9" width="15.421875" style="222" customWidth="1"/>
    <col min="10" max="10" width="9.140625" style="222" customWidth="1"/>
    <col min="11" max="11" width="13.421875" style="222" customWidth="1"/>
    <col min="12" max="12" width="14.8515625" style="222" customWidth="1"/>
    <col min="13" max="13" width="10.00390625" style="222" customWidth="1"/>
    <col min="14" max="14" width="14.28125" style="222" customWidth="1"/>
    <col min="15" max="15" width="10.00390625" style="222" customWidth="1"/>
    <col min="16" max="16" width="11.00390625" style="222" customWidth="1"/>
    <col min="17" max="17" width="10.8515625" style="222" customWidth="1"/>
    <col min="18" max="18" width="15.421875" style="222" customWidth="1"/>
    <col min="19" max="19" width="11.28125" style="222" customWidth="1"/>
    <col min="20" max="20" width="11.00390625" style="222" customWidth="1"/>
    <col min="21" max="21" width="11.57421875" style="222" customWidth="1"/>
    <col min="22" max="22" width="10.28125" style="222" customWidth="1"/>
    <col min="23" max="23" width="9.57421875" style="222" customWidth="1"/>
    <col min="24" max="24" width="11.00390625" style="222" customWidth="1"/>
    <col min="25" max="25" width="13.28125" style="222" hidden="1" customWidth="1"/>
    <col min="26" max="26" width="17.421875" style="222" hidden="1" customWidth="1"/>
    <col min="27" max="27" width="8.28125" style="222" hidden="1" customWidth="1"/>
    <col min="28" max="28" width="12.421875" style="222" customWidth="1"/>
    <col min="29" max="29" width="8.00390625" style="222" customWidth="1"/>
    <col min="30" max="30" width="10.8515625" style="222" customWidth="1"/>
    <col min="31" max="31" width="11.421875" style="222" customWidth="1"/>
    <col min="32" max="32" width="11.28125" style="223" customWidth="1"/>
    <col min="33" max="33" width="10.8515625" style="222" customWidth="1"/>
    <col min="34" max="35" width="11.421875" style="222" customWidth="1"/>
    <col min="36" max="36" width="17.28125" style="273" customWidth="1"/>
    <col min="37" max="37" width="24.8515625" style="222" customWidth="1"/>
    <col min="38" max="38" width="19.28125" style="222" customWidth="1"/>
    <col min="39" max="16384" width="15.7109375" style="222" customWidth="1"/>
  </cols>
  <sheetData>
    <row r="1" spans="1:38" ht="67.5" customHeight="1">
      <c r="A1" s="455" t="s">
        <v>161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73"/>
      <c r="AL1" s="473"/>
    </row>
    <row r="2" spans="1:38" ht="74.25" customHeight="1" hidden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L2" s="472"/>
    </row>
    <row r="3" spans="1:38" ht="20.25" customHeight="1">
      <c r="A3" s="442" t="s">
        <v>0</v>
      </c>
      <c r="B3" s="442" t="s">
        <v>40</v>
      </c>
      <c r="C3" s="442" t="s">
        <v>21</v>
      </c>
      <c r="D3" s="284"/>
      <c r="E3" s="284"/>
      <c r="F3" s="442" t="s">
        <v>65</v>
      </c>
      <c r="G3" s="442" t="s">
        <v>66</v>
      </c>
      <c r="H3" s="439" t="s">
        <v>7</v>
      </c>
      <c r="I3" s="290" t="s">
        <v>6</v>
      </c>
      <c r="J3" s="287" t="s">
        <v>8</v>
      </c>
      <c r="K3" s="280"/>
      <c r="L3" s="439" t="s">
        <v>6</v>
      </c>
      <c r="M3" s="445" t="s">
        <v>9</v>
      </c>
      <c r="N3" s="446"/>
      <c r="O3" s="446"/>
      <c r="P3" s="447"/>
      <c r="Q3" s="448" t="s">
        <v>10</v>
      </c>
      <c r="R3" s="449"/>
      <c r="S3" s="460" t="s">
        <v>111</v>
      </c>
      <c r="T3" s="463" t="s">
        <v>168</v>
      </c>
      <c r="U3" s="463" t="s">
        <v>159</v>
      </c>
      <c r="V3" s="466" t="s">
        <v>107</v>
      </c>
      <c r="W3" s="445" t="s">
        <v>26</v>
      </c>
      <c r="X3" s="446"/>
      <c r="Y3" s="446"/>
      <c r="Z3" s="447"/>
      <c r="AA3" s="448" t="s">
        <v>109</v>
      </c>
      <c r="AB3" s="449"/>
      <c r="AC3" s="448" t="s">
        <v>106</v>
      </c>
      <c r="AD3" s="449"/>
      <c r="AE3" s="436" t="s">
        <v>82</v>
      </c>
      <c r="AF3" s="436" t="s">
        <v>76</v>
      </c>
      <c r="AG3" s="436" t="s">
        <v>105</v>
      </c>
      <c r="AH3" s="452" t="s">
        <v>55</v>
      </c>
      <c r="AI3" s="436" t="s">
        <v>119</v>
      </c>
      <c r="AJ3" s="457" t="s">
        <v>13</v>
      </c>
      <c r="AK3" s="474" t="s">
        <v>162</v>
      </c>
      <c r="AL3" s="469" t="s">
        <v>163</v>
      </c>
    </row>
    <row r="4" spans="1:38" ht="29.25" customHeight="1">
      <c r="A4" s="443"/>
      <c r="B4" s="443"/>
      <c r="C4" s="443"/>
      <c r="D4" s="285" t="s">
        <v>164</v>
      </c>
      <c r="E4" s="285" t="s">
        <v>165</v>
      </c>
      <c r="F4" s="443"/>
      <c r="G4" s="443"/>
      <c r="H4" s="440"/>
      <c r="I4" s="291"/>
      <c r="J4" s="281"/>
      <c r="K4" s="282"/>
      <c r="L4" s="440"/>
      <c r="M4" s="445" t="s">
        <v>24</v>
      </c>
      <c r="N4" s="447"/>
      <c r="O4" s="445" t="s">
        <v>25</v>
      </c>
      <c r="P4" s="447"/>
      <c r="Q4" s="450"/>
      <c r="R4" s="451"/>
      <c r="S4" s="461"/>
      <c r="T4" s="464"/>
      <c r="U4" s="464"/>
      <c r="V4" s="467"/>
      <c r="W4" s="445" t="s">
        <v>28</v>
      </c>
      <c r="X4" s="447"/>
      <c r="Y4" s="445" t="s">
        <v>116</v>
      </c>
      <c r="Z4" s="447"/>
      <c r="AA4" s="450"/>
      <c r="AB4" s="451"/>
      <c r="AC4" s="450"/>
      <c r="AD4" s="451"/>
      <c r="AE4" s="437"/>
      <c r="AF4" s="437"/>
      <c r="AG4" s="437"/>
      <c r="AH4" s="453"/>
      <c r="AI4" s="437"/>
      <c r="AJ4" s="458"/>
      <c r="AK4" s="475"/>
      <c r="AL4" s="470"/>
    </row>
    <row r="5" spans="1:38" ht="32.25" customHeight="1">
      <c r="A5" s="444"/>
      <c r="B5" s="444"/>
      <c r="C5" s="444"/>
      <c r="D5" s="286"/>
      <c r="E5" s="286"/>
      <c r="F5" s="444"/>
      <c r="G5" s="444"/>
      <c r="H5" s="441"/>
      <c r="I5" s="292"/>
      <c r="J5" s="283" t="s">
        <v>22</v>
      </c>
      <c r="K5" s="274" t="s">
        <v>23</v>
      </c>
      <c r="L5" s="441"/>
      <c r="M5" s="283" t="s">
        <v>22</v>
      </c>
      <c r="N5" s="274" t="s">
        <v>23</v>
      </c>
      <c r="O5" s="275" t="s">
        <v>22</v>
      </c>
      <c r="P5" s="275" t="s">
        <v>23</v>
      </c>
      <c r="Q5" s="283" t="s">
        <v>22</v>
      </c>
      <c r="R5" s="274" t="s">
        <v>23</v>
      </c>
      <c r="S5" s="462"/>
      <c r="T5" s="465"/>
      <c r="U5" s="465"/>
      <c r="V5" s="468"/>
      <c r="W5" s="276" t="s">
        <v>27</v>
      </c>
      <c r="X5" s="276" t="s">
        <v>23</v>
      </c>
      <c r="Y5" s="277" t="s">
        <v>27</v>
      </c>
      <c r="Z5" s="276" t="s">
        <v>23</v>
      </c>
      <c r="AA5" s="276" t="s">
        <v>27</v>
      </c>
      <c r="AB5" s="276" t="s">
        <v>23</v>
      </c>
      <c r="AC5" s="276" t="s">
        <v>27</v>
      </c>
      <c r="AD5" s="276" t="s">
        <v>23</v>
      </c>
      <c r="AE5" s="438"/>
      <c r="AF5" s="438"/>
      <c r="AG5" s="438"/>
      <c r="AH5" s="454"/>
      <c r="AI5" s="438"/>
      <c r="AJ5" s="459"/>
      <c r="AK5" s="476"/>
      <c r="AL5" s="471"/>
    </row>
    <row r="6" spans="1:38" ht="47.25" customHeight="1">
      <c r="A6" s="227">
        <v>1</v>
      </c>
      <c r="B6" s="228" t="s">
        <v>60</v>
      </c>
      <c r="C6" s="229" t="s">
        <v>89</v>
      </c>
      <c r="D6" s="229">
        <v>6</v>
      </c>
      <c r="E6" s="289" t="s">
        <v>166</v>
      </c>
      <c r="F6" s="230">
        <v>3127</v>
      </c>
      <c r="G6" s="231">
        <f>'01.2016'!H7+'02.2016'!H7+'03.2016'!H7+'04.2016'!H6+'05.2016'!H6+'06.2016'!H6</f>
        <v>17511.2</v>
      </c>
      <c r="H6" s="231">
        <f>'01.2016'!I7+'02.2016'!I7+'03.2016'!I7+'04.2016'!I6+'05.2016'!I6+'06.2016'!I6</f>
        <v>540</v>
      </c>
      <c r="I6" s="231">
        <f>G6+H6</f>
        <v>18051.2</v>
      </c>
      <c r="J6" s="232"/>
      <c r="K6" s="230"/>
      <c r="L6" s="230">
        <f>I6+K6</f>
        <v>18051.2</v>
      </c>
      <c r="M6" s="230"/>
      <c r="N6" s="230"/>
      <c r="O6" s="230"/>
      <c r="P6" s="233"/>
      <c r="Q6" s="232">
        <v>1</v>
      </c>
      <c r="R6" s="230">
        <f>'01.2016'!T7+'02.2016'!T7+'03.2016'!S7+'04.2016'!S6+'05.2016'!S6+'06.2016'!S6</f>
        <v>17511.2</v>
      </c>
      <c r="S6" s="231"/>
      <c r="T6" s="231"/>
      <c r="U6" s="231"/>
      <c r="V6" s="231">
        <f>'06.2016'!V6</f>
        <v>59.45</v>
      </c>
      <c r="W6" s="226"/>
      <c r="X6" s="231"/>
      <c r="Y6" s="234"/>
      <c r="Z6" s="230"/>
      <c r="AA6" s="234"/>
      <c r="AB6" s="230"/>
      <c r="AC6" s="234">
        <v>12</v>
      </c>
      <c r="AD6" s="230">
        <v>2496</v>
      </c>
      <c r="AE6" s="235"/>
      <c r="AF6" s="236"/>
      <c r="AG6" s="230"/>
      <c r="AH6" s="230"/>
      <c r="AI6" s="230"/>
      <c r="AJ6" s="237">
        <f>AB6+Z6+X6+V6+R6+P6+N6+L6+S6+AG6+AI6+T6+AH6+AD6+AE6+AF6+U6</f>
        <v>38117.85</v>
      </c>
      <c r="AK6" s="279">
        <f>AJ6-AJ6*0.205</f>
        <v>30303.69</v>
      </c>
      <c r="AL6" s="230">
        <f>AK6/D6</f>
        <v>5050.62</v>
      </c>
    </row>
    <row r="7" spans="1:38" ht="44.25" customHeight="1">
      <c r="A7" s="227">
        <v>2</v>
      </c>
      <c r="B7" s="228" t="s">
        <v>34</v>
      </c>
      <c r="C7" s="229" t="s">
        <v>90</v>
      </c>
      <c r="D7" s="229">
        <v>6</v>
      </c>
      <c r="E7" s="289" t="s">
        <v>166</v>
      </c>
      <c r="F7" s="230">
        <v>2457</v>
      </c>
      <c r="G7" s="231">
        <f>'01.2016'!H8+'02.2016'!H8+'03.2016'!H8+'04.2016'!H7+'05.2016'!H7+'06.2016'!H7</f>
        <v>14742</v>
      </c>
      <c r="H7" s="231">
        <f>'01.2016'!I8+'02.2016'!I8+'03.2016'!I8+'04.2016'!I7+'05.2016'!I7+'06.2016'!I7</f>
        <v>540</v>
      </c>
      <c r="I7" s="231">
        <f>G7+H7</f>
        <v>15282</v>
      </c>
      <c r="J7" s="232">
        <v>0.4</v>
      </c>
      <c r="K7" s="230">
        <f>I7*J7</f>
        <v>6112.8</v>
      </c>
      <c r="L7" s="230">
        <f>I7+K7</f>
        <v>21394.8</v>
      </c>
      <c r="M7" s="230"/>
      <c r="N7" s="230"/>
      <c r="O7" s="230"/>
      <c r="P7" s="233"/>
      <c r="Q7" s="232">
        <v>1</v>
      </c>
      <c r="R7" s="230">
        <f>'01.2016'!T8+'02.2016'!T8+'03.2016'!S8+'04.2016'!S7+'05.2016'!S7+'06.2016'!S7</f>
        <v>14742</v>
      </c>
      <c r="S7" s="231"/>
      <c r="T7" s="231"/>
      <c r="U7" s="231"/>
      <c r="V7" s="231">
        <f>'06.2016'!V7</f>
        <v>59.45</v>
      </c>
      <c r="W7" s="226"/>
      <c r="X7" s="231"/>
      <c r="Y7" s="234"/>
      <c r="Z7" s="230"/>
      <c r="AA7" s="234"/>
      <c r="AB7" s="230"/>
      <c r="AC7" s="234"/>
      <c r="AD7" s="230"/>
      <c r="AE7" s="235"/>
      <c r="AF7" s="236"/>
      <c r="AG7" s="230"/>
      <c r="AH7" s="230"/>
      <c r="AI7" s="230"/>
      <c r="AJ7" s="237">
        <f aca="true" t="shared" si="0" ref="AJ7:AJ28">AB7+Z7+X7+V7+R7+P7+N7+L7+S7+AG7+AI7+T7+AH7+AD7+AE7+AF7+U7</f>
        <v>36196.25</v>
      </c>
      <c r="AK7" s="279">
        <f>AJ7-AJ7*0.205</f>
        <v>28776.02</v>
      </c>
      <c r="AL7" s="230">
        <f>AK7/D7</f>
        <v>4796</v>
      </c>
    </row>
    <row r="8" spans="1:38" ht="26.25" customHeight="1">
      <c r="A8" s="227">
        <v>3</v>
      </c>
      <c r="B8" s="228" t="s">
        <v>36</v>
      </c>
      <c r="C8" s="229" t="s">
        <v>91</v>
      </c>
      <c r="D8" s="229">
        <v>6</v>
      </c>
      <c r="E8" s="289" t="s">
        <v>166</v>
      </c>
      <c r="F8" s="230">
        <v>1723</v>
      </c>
      <c r="G8" s="231">
        <f>'01.2016'!H9+'02.2016'!H9+'03.2016'!H9+'04.2016'!H8+'05.2016'!H8+'06.2016'!H8</f>
        <v>10284</v>
      </c>
      <c r="H8" s="231">
        <f>'01.2016'!I9+'02.2016'!I9+'03.2016'!I9+'04.2016'!I8+'05.2016'!I8+'06.2016'!I8</f>
        <v>330</v>
      </c>
      <c r="I8" s="231">
        <f>G8+H8</f>
        <v>10614</v>
      </c>
      <c r="J8" s="232">
        <v>0.15</v>
      </c>
      <c r="K8" s="230">
        <f>'01.2016'!L9+'02.2016'!L9+'03.2016'!L9+'04.2016'!L8+'05.2016'!L8+'06.2016'!L8</f>
        <v>1592.1</v>
      </c>
      <c r="L8" s="230">
        <f>I8+K8</f>
        <v>12206.1</v>
      </c>
      <c r="M8" s="230"/>
      <c r="N8" s="230"/>
      <c r="O8" s="230"/>
      <c r="P8" s="233"/>
      <c r="Q8" s="232">
        <v>1</v>
      </c>
      <c r="R8" s="230">
        <f>'01.2016'!T9+'02.2016'!T9+'03.2016'!S9+'04.2016'!S8+'05.2016'!S8+'06.2016'!S8</f>
        <v>10284</v>
      </c>
      <c r="S8" s="231"/>
      <c r="T8" s="231"/>
      <c r="U8" s="231"/>
      <c r="V8" s="231">
        <f>'06.2016'!V8</f>
        <v>59.45</v>
      </c>
      <c r="W8" s="226"/>
      <c r="X8" s="231"/>
      <c r="Y8" s="234"/>
      <c r="Z8" s="230"/>
      <c r="AA8" s="234"/>
      <c r="AB8" s="230"/>
      <c r="AC8" s="234"/>
      <c r="AD8" s="230"/>
      <c r="AE8" s="235">
        <v>508.3</v>
      </c>
      <c r="AF8" s="236"/>
      <c r="AG8" s="230"/>
      <c r="AH8" s="230"/>
      <c r="AI8" s="230"/>
      <c r="AJ8" s="237">
        <f t="shared" si="0"/>
        <v>23057.85</v>
      </c>
      <c r="AK8" s="279">
        <f>AJ8-AJ8*0.205</f>
        <v>18330.99</v>
      </c>
      <c r="AL8" s="230">
        <f>AK8/D8</f>
        <v>3055.17</v>
      </c>
    </row>
    <row r="9" spans="1:38" ht="41.25" customHeight="1">
      <c r="A9" s="227">
        <v>4</v>
      </c>
      <c r="B9" s="228" t="s">
        <v>37</v>
      </c>
      <c r="C9" s="229" t="s">
        <v>92</v>
      </c>
      <c r="D9" s="229">
        <v>6</v>
      </c>
      <c r="E9" s="289" t="s">
        <v>166</v>
      </c>
      <c r="F9" s="230">
        <v>1723</v>
      </c>
      <c r="G9" s="231">
        <f>'01.2016'!H10+'02.2016'!H10+'03.2016'!H10+'04.2016'!H9+'05.2016'!H9+'06.2016'!H9</f>
        <v>9648</v>
      </c>
      <c r="H9" s="231">
        <f>'01.2016'!I10+'02.2016'!I10+'03.2016'!I10+'04.2016'!I9+'05.2016'!I9+'06.2016'!I9</f>
        <v>330</v>
      </c>
      <c r="I9" s="231">
        <f>G9+H9</f>
        <v>9978</v>
      </c>
      <c r="J9" s="232">
        <v>0.25</v>
      </c>
      <c r="K9" s="230">
        <f>'01.2016'!L10+'02.2016'!L10+'03.2016'!L10+'04.2016'!L9+'05.2016'!L9+'06.2016'!L9</f>
        <v>2351.2</v>
      </c>
      <c r="L9" s="230">
        <f>I9+K9</f>
        <v>12329.2</v>
      </c>
      <c r="M9" s="230"/>
      <c r="N9" s="230"/>
      <c r="O9" s="230"/>
      <c r="P9" s="233"/>
      <c r="Q9" s="232">
        <v>1</v>
      </c>
      <c r="R9" s="230">
        <f>'01.2016'!T10+'02.2016'!T10+'03.2016'!S10+'04.2016'!S9+'05.2016'!S9+'06.2016'!S9</f>
        <v>7925</v>
      </c>
      <c r="S9" s="231"/>
      <c r="T9" s="231"/>
      <c r="U9" s="231"/>
      <c r="V9" s="231">
        <f>'06.2016'!V9</f>
        <v>59.45</v>
      </c>
      <c r="W9" s="226"/>
      <c r="X9" s="231"/>
      <c r="Y9" s="234"/>
      <c r="Z9" s="230"/>
      <c r="AA9" s="234"/>
      <c r="AB9" s="230"/>
      <c r="AC9" s="234"/>
      <c r="AD9" s="230"/>
      <c r="AE9" s="235">
        <v>2900.65</v>
      </c>
      <c r="AF9" s="238">
        <v>749.7</v>
      </c>
      <c r="AG9" s="230"/>
      <c r="AH9" s="230"/>
      <c r="AI9" s="230">
        <v>1000</v>
      </c>
      <c r="AJ9" s="237">
        <f t="shared" si="0"/>
        <v>24964</v>
      </c>
      <c r="AK9" s="279">
        <f>AJ9-AJ9*0.205</f>
        <v>19846.38</v>
      </c>
      <c r="AL9" s="230">
        <f>AK9/D9</f>
        <v>3307.73</v>
      </c>
    </row>
    <row r="10" spans="1:38" ht="38.25" customHeight="1">
      <c r="A10" s="239">
        <v>5</v>
      </c>
      <c r="B10" s="240" t="s">
        <v>85</v>
      </c>
      <c r="C10" s="241" t="s">
        <v>93</v>
      </c>
      <c r="D10" s="241">
        <v>2</v>
      </c>
      <c r="E10" s="262" t="s">
        <v>167</v>
      </c>
      <c r="F10" s="230">
        <v>1723</v>
      </c>
      <c r="G10" s="231">
        <f>'04.2016'!H10+'05.2016'!H10+'06.2016'!H10</f>
        <v>3376.26</v>
      </c>
      <c r="H10" s="231">
        <f>'04.2016'!I10+'05.2016'!I10+'06.2016'!I10</f>
        <v>88.18</v>
      </c>
      <c r="I10" s="231">
        <f>G10+H10</f>
        <v>3464.44</v>
      </c>
      <c r="J10" s="242">
        <v>0.1</v>
      </c>
      <c r="K10" s="230">
        <f>'04.2016'!L10+'05.2016'!L10+'06.2016'!L10</f>
        <v>346.44</v>
      </c>
      <c r="L10" s="230">
        <f>I10+K10</f>
        <v>3810.88</v>
      </c>
      <c r="M10" s="243"/>
      <c r="N10" s="243"/>
      <c r="O10" s="243"/>
      <c r="P10" s="244"/>
      <c r="Q10" s="232"/>
      <c r="R10" s="230">
        <f>'04.2016'!S10+'05.2016'!S10</f>
        <v>2773.21</v>
      </c>
      <c r="S10" s="245"/>
      <c r="T10" s="245"/>
      <c r="U10" s="245"/>
      <c r="V10" s="245"/>
      <c r="W10" s="246"/>
      <c r="X10" s="245"/>
      <c r="Y10" s="247"/>
      <c r="Z10" s="243"/>
      <c r="AA10" s="247"/>
      <c r="AB10" s="243"/>
      <c r="AC10" s="234"/>
      <c r="AD10" s="230"/>
      <c r="AE10" s="248"/>
      <c r="AG10" s="230">
        <v>542.45</v>
      </c>
      <c r="AH10" s="243"/>
      <c r="AI10" s="243"/>
      <c r="AJ10" s="237">
        <f t="shared" si="0"/>
        <v>7126.54</v>
      </c>
      <c r="AK10" s="279">
        <f>AJ10-AJ10*0.205</f>
        <v>5665.6</v>
      </c>
      <c r="AL10" s="230">
        <f>AK10/D10</f>
        <v>2832.8</v>
      </c>
    </row>
    <row r="11" spans="1:38" ht="24.75" customHeight="1">
      <c r="A11" s="239"/>
      <c r="B11" s="249" t="s">
        <v>39</v>
      </c>
      <c r="C11" s="250"/>
      <c r="D11" s="250"/>
      <c r="E11" s="250"/>
      <c r="F11" s="251">
        <f>SUM(F6:F10)</f>
        <v>10753</v>
      </c>
      <c r="G11" s="251">
        <f aca="true" t="shared" si="1" ref="G11:AI11">SUM(G6:G10)</f>
        <v>55561.46</v>
      </c>
      <c r="H11" s="251">
        <f t="shared" si="1"/>
        <v>1828.18</v>
      </c>
      <c r="I11" s="251">
        <f t="shared" si="1"/>
        <v>57389.64</v>
      </c>
      <c r="J11" s="251"/>
      <c r="K11" s="251">
        <f t="shared" si="1"/>
        <v>10402.54</v>
      </c>
      <c r="L11" s="251">
        <f t="shared" si="1"/>
        <v>67792.18</v>
      </c>
      <c r="M11" s="251">
        <f t="shared" si="1"/>
        <v>0</v>
      </c>
      <c r="N11" s="251">
        <f t="shared" si="1"/>
        <v>0</v>
      </c>
      <c r="O11" s="251">
        <f t="shared" si="1"/>
        <v>0</v>
      </c>
      <c r="P11" s="251">
        <f t="shared" si="1"/>
        <v>0</v>
      </c>
      <c r="Q11" s="251">
        <f t="shared" si="1"/>
        <v>4</v>
      </c>
      <c r="R11" s="251">
        <f t="shared" si="1"/>
        <v>53235.41</v>
      </c>
      <c r="S11" s="251">
        <f t="shared" si="1"/>
        <v>0</v>
      </c>
      <c r="T11" s="251">
        <f t="shared" si="1"/>
        <v>0</v>
      </c>
      <c r="U11" s="251">
        <f t="shared" si="1"/>
        <v>0</v>
      </c>
      <c r="V11" s="251">
        <f t="shared" si="1"/>
        <v>237.8</v>
      </c>
      <c r="W11" s="251">
        <f t="shared" si="1"/>
        <v>0</v>
      </c>
      <c r="X11" s="251">
        <f t="shared" si="1"/>
        <v>0</v>
      </c>
      <c r="Y11" s="251">
        <f t="shared" si="1"/>
        <v>0</v>
      </c>
      <c r="Z11" s="251">
        <f t="shared" si="1"/>
        <v>0</v>
      </c>
      <c r="AA11" s="251">
        <f t="shared" si="1"/>
        <v>0</v>
      </c>
      <c r="AB11" s="251">
        <f t="shared" si="1"/>
        <v>0</v>
      </c>
      <c r="AC11" s="251"/>
      <c r="AD11" s="251">
        <f t="shared" si="1"/>
        <v>2496</v>
      </c>
      <c r="AE11" s="251">
        <f t="shared" si="1"/>
        <v>3408.95</v>
      </c>
      <c r="AF11" s="251">
        <f t="shared" si="1"/>
        <v>749.7</v>
      </c>
      <c r="AG11" s="251">
        <f t="shared" si="1"/>
        <v>542.45</v>
      </c>
      <c r="AH11" s="251">
        <f t="shared" si="1"/>
        <v>0</v>
      </c>
      <c r="AI11" s="251">
        <f t="shared" si="1"/>
        <v>1000</v>
      </c>
      <c r="AJ11" s="237">
        <f t="shared" si="0"/>
        <v>129462.49</v>
      </c>
      <c r="AK11" s="279">
        <f>AJ11-AJ11*0.205</f>
        <v>102922.68</v>
      </c>
      <c r="AL11" s="278">
        <f>AK11/6</f>
        <v>17153.78</v>
      </c>
    </row>
    <row r="12" spans="1:38" s="254" customFormat="1" ht="42.75" customHeight="1">
      <c r="A12" s="252">
        <v>6</v>
      </c>
      <c r="B12" s="224" t="s">
        <v>61</v>
      </c>
      <c r="C12" s="224" t="s">
        <v>44</v>
      </c>
      <c r="D12" s="224">
        <v>6</v>
      </c>
      <c r="E12" s="289" t="s">
        <v>166</v>
      </c>
      <c r="F12" s="231">
        <v>1723</v>
      </c>
      <c r="G12" s="231">
        <f>'01.2016'!H12+'02.2016'!H12+'03.2016'!H12+'04.2016'!H12+'05.2016'!H12+'06.2016'!H12</f>
        <v>9256.41</v>
      </c>
      <c r="H12" s="231"/>
      <c r="I12" s="231">
        <f>'01.2016'!J12+'02.2016'!J12+'03.2016'!J12+'04.2016'!J12+'05.2016'!J12+'06.2016'!J12</f>
        <v>9256.41</v>
      </c>
      <c r="J12" s="231"/>
      <c r="K12" s="231"/>
      <c r="L12" s="231">
        <f>'01.2016'!M12+'02.2016'!M12+'03.2016'!M12+'04.2016'!M12+'05.2016'!M12+'06.2016'!M12</f>
        <v>9256.41</v>
      </c>
      <c r="M12" s="231"/>
      <c r="N12" s="231">
        <f>'01.2016'!O12+'02.2016'!O12+'04.2016'!O12+'05.2016'!O12+'06.2016'!O12</f>
        <v>3962.5</v>
      </c>
      <c r="O12" s="231">
        <f>'01.2016'!P12+'02.2016'!P12+'03.2016'!P12+'04.2016'!P12+'05.2016'!P12+'06.2016'!P12</f>
        <v>0</v>
      </c>
      <c r="P12" s="231">
        <f>'01.2016'!Q12+'02.2016'!Q12+'03.2016'!Q12+'04.2016'!Q12+'05.2016'!Q12+'06.2016'!Q12</f>
        <v>0</v>
      </c>
      <c r="Q12" s="231"/>
      <c r="R12" s="231">
        <f>'01.2016'!T12+'02.2016'!T12+'04.2016'!S12+'05.2016'!S12+'06.2016'!S12</f>
        <v>3187.15</v>
      </c>
      <c r="S12" s="231"/>
      <c r="T12" s="231"/>
      <c r="U12" s="231"/>
      <c r="V12" s="231">
        <f>'01.2016'!V12+'02.2016'!V12+'03.2016'!V12+'04.2016'!V12+'05.2016'!V12+'06.2016'!V12</f>
        <v>59.45</v>
      </c>
      <c r="W12" s="231"/>
      <c r="X12" s="231"/>
      <c r="Y12" s="231"/>
      <c r="Z12" s="231"/>
      <c r="AA12" s="231"/>
      <c r="AB12" s="231"/>
      <c r="AC12" s="231"/>
      <c r="AD12" s="231">
        <v>861.5</v>
      </c>
      <c r="AE12" s="253">
        <v>1890</v>
      </c>
      <c r="AF12" s="253"/>
      <c r="AG12" s="231"/>
      <c r="AH12" s="231"/>
      <c r="AI12" s="231">
        <v>1000</v>
      </c>
      <c r="AJ12" s="237">
        <f t="shared" si="0"/>
        <v>20217.01</v>
      </c>
      <c r="AK12" s="279">
        <f>AJ12-AJ12*0.205</f>
        <v>16072.52</v>
      </c>
      <c r="AL12" s="230">
        <f>AK12/D12</f>
        <v>2678.75</v>
      </c>
    </row>
    <row r="13" spans="1:38" ht="41.25" customHeight="1">
      <c r="A13" s="227">
        <v>7</v>
      </c>
      <c r="B13" s="225" t="s">
        <v>41</v>
      </c>
      <c r="C13" s="255" t="s">
        <v>94</v>
      </c>
      <c r="D13" s="255">
        <v>6</v>
      </c>
      <c r="E13" s="289" t="s">
        <v>166</v>
      </c>
      <c r="F13" s="231">
        <v>1723</v>
      </c>
      <c r="G13" s="231">
        <f>'01.2016'!H13+'02.2016'!H13+'03.2016'!H13+'04.2016'!H13+'05.2016'!H13+'06.2016'!H13</f>
        <v>9648</v>
      </c>
      <c r="H13" s="231"/>
      <c r="I13" s="231">
        <f>'01.2016'!J13+'02.2016'!J13+'03.2016'!J13+'04.2016'!J13+'05.2016'!J13+'06.2016'!J13</f>
        <v>9648</v>
      </c>
      <c r="J13" s="232">
        <v>0.4</v>
      </c>
      <c r="K13" s="231">
        <f>'01.2016'!L13+'02.2016'!L13+'03.2016'!L13+'04.2016'!L13+'05.2016'!L13+'06.2016'!L13</f>
        <v>3859.2</v>
      </c>
      <c r="L13" s="231">
        <f>I13+K13</f>
        <v>13507.2</v>
      </c>
      <c r="M13" s="231"/>
      <c r="N13" s="231">
        <f>'01.2016'!O13+'02.2016'!O13+'04.2016'!O13+'05.2016'!O13+'06.2016'!O13</f>
        <v>5185.67</v>
      </c>
      <c r="O13" s="231">
        <f>'01.2016'!P13+'02.2016'!P13+'03.2016'!P13+'04.2016'!P13+'05.2016'!P13+'06.2016'!P13</f>
        <v>0</v>
      </c>
      <c r="P13" s="231">
        <f>'01.2016'!Q13+'02.2016'!Q13+'03.2016'!Q13+'04.2016'!Q13+'05.2016'!Q13+'06.2016'!Q13</f>
        <v>0</v>
      </c>
      <c r="Q13" s="231"/>
      <c r="R13" s="231"/>
      <c r="S13" s="231"/>
      <c r="T13" s="231"/>
      <c r="U13" s="231"/>
      <c r="V13" s="231">
        <f>'01.2016'!V13+'02.2016'!V13+'03.2016'!V13+'04.2016'!V13+'05.2016'!V13+'06.2016'!V13</f>
        <v>59.45</v>
      </c>
      <c r="W13" s="231"/>
      <c r="X13" s="231"/>
      <c r="Y13" s="231"/>
      <c r="Z13" s="231"/>
      <c r="AA13" s="231"/>
      <c r="AB13" s="231"/>
      <c r="AC13" s="256"/>
      <c r="AD13" s="231"/>
      <c r="AE13" s="253">
        <v>2443.8</v>
      </c>
      <c r="AF13" s="257"/>
      <c r="AG13" s="231"/>
      <c r="AH13" s="231"/>
      <c r="AI13" s="231"/>
      <c r="AJ13" s="237">
        <f t="shared" si="0"/>
        <v>21196.12</v>
      </c>
      <c r="AK13" s="279">
        <f>AJ13-AJ13*0.205</f>
        <v>16850.92</v>
      </c>
      <c r="AL13" s="230">
        <f>AK13/D13</f>
        <v>2808.49</v>
      </c>
    </row>
    <row r="14" spans="1:38" s="254" customFormat="1" ht="39.75" customHeight="1">
      <c r="A14" s="252">
        <v>8</v>
      </c>
      <c r="B14" s="224" t="s">
        <v>74</v>
      </c>
      <c r="C14" s="258" t="s">
        <v>50</v>
      </c>
      <c r="D14" s="258">
        <v>4</v>
      </c>
      <c r="E14" s="289" t="s">
        <v>166</v>
      </c>
      <c r="F14" s="231">
        <v>1723</v>
      </c>
      <c r="G14" s="231">
        <f>'02.2016'!H20+'03.2016'!H14+'04.2016'!H14+'05.2016'!H14+'06.2016'!H14</f>
        <v>7141.23</v>
      </c>
      <c r="H14" s="231"/>
      <c r="I14" s="231">
        <f>G14+H14</f>
        <v>7141.23</v>
      </c>
      <c r="J14" s="259"/>
      <c r="K14" s="231"/>
      <c r="L14" s="231">
        <f>I14+K14</f>
        <v>7141.23</v>
      </c>
      <c r="M14" s="259">
        <v>0.5</v>
      </c>
      <c r="N14" s="231">
        <f>'02.2016'!O20+'03.2016'!O14+'04.2016'!O14+'05.2016'!O14+'06.2016'!O14</f>
        <v>3570.62</v>
      </c>
      <c r="O14" s="259"/>
      <c r="P14" s="233"/>
      <c r="Q14" s="259">
        <v>0.35</v>
      </c>
      <c r="R14" s="231">
        <f>'02.2016'!T20+'03.2016'!S14+'04.2016'!S14+'05.2016'!S14+'06.2016'!S14</f>
        <v>2944.89</v>
      </c>
      <c r="S14" s="231"/>
      <c r="T14" s="231"/>
      <c r="U14" s="231"/>
      <c r="V14" s="231">
        <v>50.75</v>
      </c>
      <c r="W14" s="256"/>
      <c r="X14" s="231"/>
      <c r="Y14" s="256"/>
      <c r="Z14" s="231"/>
      <c r="AA14" s="256"/>
      <c r="AB14" s="231"/>
      <c r="AC14" s="256"/>
      <c r="AD14" s="231">
        <v>1681.2</v>
      </c>
      <c r="AE14" s="253">
        <v>624.28</v>
      </c>
      <c r="AF14" s="257"/>
      <c r="AG14" s="231"/>
      <c r="AH14" s="231"/>
      <c r="AI14" s="231"/>
      <c r="AJ14" s="237">
        <f t="shared" si="0"/>
        <v>16012.97</v>
      </c>
      <c r="AK14" s="279">
        <f>AJ14-AJ14*0.205</f>
        <v>12730.31</v>
      </c>
      <c r="AL14" s="230">
        <f>AK14/D14</f>
        <v>3182.58</v>
      </c>
    </row>
    <row r="15" spans="1:38" s="254" customFormat="1" ht="42.75" customHeight="1">
      <c r="A15" s="252">
        <v>9</v>
      </c>
      <c r="B15" s="224" t="s">
        <v>43</v>
      </c>
      <c r="C15" s="224" t="s">
        <v>44</v>
      </c>
      <c r="D15" s="224">
        <v>6</v>
      </c>
      <c r="E15" s="289" t="s">
        <v>166</v>
      </c>
      <c r="F15" s="231">
        <v>1723</v>
      </c>
      <c r="G15" s="231">
        <f>'01.2016'!H16+'02.2016'!H15+'03.2016'!H15+'04.2016'!H15+'05.2016'!H15+'06.2016'!H15</f>
        <v>6425.11</v>
      </c>
      <c r="H15" s="231"/>
      <c r="I15" s="231">
        <f>G15+H15</f>
        <v>6425.11</v>
      </c>
      <c r="J15" s="232">
        <v>0.25</v>
      </c>
      <c r="K15" s="231">
        <f>'01.2016'!L16+'02.2016'!L15+'03.2016'!L15+'04.2016'!L15+'05.2016'!L15+'06.2016'!L15</f>
        <v>1559.14</v>
      </c>
      <c r="L15" s="231">
        <f>I15+K15</f>
        <v>7984.25</v>
      </c>
      <c r="M15" s="259">
        <v>0.5</v>
      </c>
      <c r="N15" s="231">
        <f>'01.2016'!O16+'02.2016'!O15+'04.2016'!O15+'05.2016'!O15+'06.2016'!O15</f>
        <v>3796.35</v>
      </c>
      <c r="O15" s="231"/>
      <c r="P15" s="233"/>
      <c r="Q15" s="259">
        <v>0.1</v>
      </c>
      <c r="R15" s="231">
        <f>'04.2016'!S15+'05.2016'!S15+'06.2016'!S15</f>
        <v>344.6</v>
      </c>
      <c r="S15" s="231"/>
      <c r="T15" s="253"/>
      <c r="U15" s="253">
        <v>2000</v>
      </c>
      <c r="V15" s="231">
        <v>59.45</v>
      </c>
      <c r="W15" s="256"/>
      <c r="X15" s="253">
        <v>499.8</v>
      </c>
      <c r="Y15" s="256"/>
      <c r="Z15" s="231"/>
      <c r="AA15" s="256"/>
      <c r="AB15" s="257">
        <v>1986.96</v>
      </c>
      <c r="AC15" s="256"/>
      <c r="AD15" s="231"/>
      <c r="AE15" s="253">
        <v>1555.24</v>
      </c>
      <c r="AF15" s="257">
        <v>820</v>
      </c>
      <c r="AG15" s="231"/>
      <c r="AH15" s="257">
        <v>1378</v>
      </c>
      <c r="AI15" s="231"/>
      <c r="AJ15" s="237">
        <f t="shared" si="0"/>
        <v>20424.65</v>
      </c>
      <c r="AK15" s="279">
        <f>AJ15-AJ15*0.205</f>
        <v>16237.6</v>
      </c>
      <c r="AL15" s="230">
        <f>AK15/D15</f>
        <v>2706.27</v>
      </c>
    </row>
    <row r="16" spans="1:38" s="254" customFormat="1" ht="45.75" customHeight="1">
      <c r="A16" s="252">
        <v>10</v>
      </c>
      <c r="B16" s="224" t="s">
        <v>87</v>
      </c>
      <c r="C16" s="224" t="s">
        <v>88</v>
      </c>
      <c r="D16" s="224">
        <v>3</v>
      </c>
      <c r="E16" s="289" t="s">
        <v>166</v>
      </c>
      <c r="F16" s="231">
        <v>1723</v>
      </c>
      <c r="G16" s="231">
        <f>'04.2016'!H17+'05.2016'!H16+'06.2016'!H16</f>
        <v>5169</v>
      </c>
      <c r="H16" s="231"/>
      <c r="I16" s="231">
        <f>'04.2016'!H17+'05.2016'!H16+'06.2016'!H16</f>
        <v>5169</v>
      </c>
      <c r="J16" s="259"/>
      <c r="K16" s="231"/>
      <c r="L16" s="231">
        <f aca="true" t="shared" si="2" ref="L16:L26">I16+K16</f>
        <v>5169</v>
      </c>
      <c r="M16" s="259">
        <v>0.5</v>
      </c>
      <c r="N16" s="231">
        <f>'04.2016'!O17+'05.2016'!O16+'05.2016'!O16</f>
        <v>2584.5</v>
      </c>
      <c r="O16" s="231"/>
      <c r="P16" s="233"/>
      <c r="Q16" s="259">
        <v>0.35</v>
      </c>
      <c r="R16" s="231">
        <f>'04.2016'!S17+'05.2016'!S16+'06.2016'!S16</f>
        <v>1809.15</v>
      </c>
      <c r="S16" s="231"/>
      <c r="T16" s="231"/>
      <c r="U16" s="231"/>
      <c r="V16" s="231"/>
      <c r="W16" s="256"/>
      <c r="X16" s="231"/>
      <c r="Y16" s="256"/>
      <c r="Z16" s="231"/>
      <c r="AA16" s="256"/>
      <c r="AB16" s="231"/>
      <c r="AC16" s="256"/>
      <c r="AD16" s="231"/>
      <c r="AE16" s="253"/>
      <c r="AF16" s="257"/>
      <c r="AG16" s="231"/>
      <c r="AH16" s="231"/>
      <c r="AI16" s="231"/>
      <c r="AJ16" s="237">
        <f t="shared" si="0"/>
        <v>9562.65</v>
      </c>
      <c r="AK16" s="279">
        <f>AJ16-AJ16*0.205</f>
        <v>7602.31</v>
      </c>
      <c r="AL16" s="230">
        <f>AK16/D16</f>
        <v>2534.1</v>
      </c>
    </row>
    <row r="17" spans="1:38" s="254" customFormat="1" ht="42.75" customHeight="1">
      <c r="A17" s="252">
        <v>11</v>
      </c>
      <c r="B17" s="224" t="s">
        <v>97</v>
      </c>
      <c r="C17" s="224" t="s">
        <v>102</v>
      </c>
      <c r="D17" s="224">
        <v>3</v>
      </c>
      <c r="E17" s="289" t="s">
        <v>166</v>
      </c>
      <c r="F17" s="231">
        <v>725</v>
      </c>
      <c r="G17" s="231">
        <f>'04.2016'!H19+'05.2016'!H17+'06.2016'!H18</f>
        <v>1843.71</v>
      </c>
      <c r="H17" s="231"/>
      <c r="I17" s="231">
        <f>G17+H17</f>
        <v>1843.71</v>
      </c>
      <c r="J17" s="259"/>
      <c r="K17" s="231"/>
      <c r="L17" s="231">
        <f>I17+K17</f>
        <v>1843.71</v>
      </c>
      <c r="M17" s="259"/>
      <c r="N17" s="231"/>
      <c r="O17" s="259">
        <v>0.1</v>
      </c>
      <c r="P17" s="233">
        <f>'04.2016'!Q19+'05.2016'!Q17+'06.2016'!Q18</f>
        <v>184.37</v>
      </c>
      <c r="Q17" s="259"/>
      <c r="R17" s="231">
        <f>'04.2016'!S19</f>
        <v>500</v>
      </c>
      <c r="S17" s="231"/>
      <c r="T17" s="231"/>
      <c r="U17" s="231"/>
      <c r="V17" s="231"/>
      <c r="W17" s="256"/>
      <c r="X17" s="231"/>
      <c r="Y17" s="256"/>
      <c r="Z17" s="231"/>
      <c r="AA17" s="256"/>
      <c r="AB17" s="231"/>
      <c r="AC17" s="256"/>
      <c r="AD17" s="231"/>
      <c r="AE17" s="253"/>
      <c r="AF17" s="257"/>
      <c r="AG17" s="231"/>
      <c r="AH17" s="231"/>
      <c r="AI17" s="231"/>
      <c r="AJ17" s="237">
        <f t="shared" si="0"/>
        <v>2528.08</v>
      </c>
      <c r="AK17" s="279">
        <f>AJ17-AJ17*0.205</f>
        <v>2009.82</v>
      </c>
      <c r="AL17" s="230">
        <f>AK17/D17</f>
        <v>669.94</v>
      </c>
    </row>
    <row r="18" spans="1:38" s="254" customFormat="1" ht="41.25" customHeight="1">
      <c r="A18" s="252">
        <v>12</v>
      </c>
      <c r="B18" s="224" t="s">
        <v>108</v>
      </c>
      <c r="C18" s="224" t="s">
        <v>95</v>
      </c>
      <c r="D18" s="224">
        <v>1</v>
      </c>
      <c r="E18" s="289" t="s">
        <v>166</v>
      </c>
      <c r="F18" s="231">
        <v>1450</v>
      </c>
      <c r="G18" s="231">
        <f>'06.2016'!H19</f>
        <v>1087.5</v>
      </c>
      <c r="H18" s="231"/>
      <c r="I18" s="231">
        <f>G18+H18</f>
        <v>1087.5</v>
      </c>
      <c r="J18" s="259"/>
      <c r="K18" s="231"/>
      <c r="L18" s="231">
        <f t="shared" si="2"/>
        <v>1087.5</v>
      </c>
      <c r="M18" s="231"/>
      <c r="N18" s="231"/>
      <c r="O18" s="259">
        <v>0.1</v>
      </c>
      <c r="P18" s="233">
        <f>'06.2016'!Q19</f>
        <v>108.75</v>
      </c>
      <c r="Q18" s="259"/>
      <c r="R18" s="231">
        <f>'06.2016'!S19</f>
        <v>326.25</v>
      </c>
      <c r="S18" s="231"/>
      <c r="T18" s="231"/>
      <c r="U18" s="231"/>
      <c r="V18" s="231"/>
      <c r="W18" s="256"/>
      <c r="X18" s="231"/>
      <c r="Y18" s="256"/>
      <c r="Z18" s="231"/>
      <c r="AA18" s="256"/>
      <c r="AB18" s="231"/>
      <c r="AC18" s="256"/>
      <c r="AD18" s="231"/>
      <c r="AE18" s="253"/>
      <c r="AF18" s="257"/>
      <c r="AG18" s="231"/>
      <c r="AH18" s="231"/>
      <c r="AI18" s="231"/>
      <c r="AJ18" s="237">
        <f t="shared" si="0"/>
        <v>1522.5</v>
      </c>
      <c r="AK18" s="279">
        <f>AJ18-AJ18*0.205</f>
        <v>1210.39</v>
      </c>
      <c r="AL18" s="230">
        <f>AK18/D18</f>
        <v>1210.39</v>
      </c>
    </row>
    <row r="19" spans="1:38" s="254" customFormat="1" ht="39.75" customHeight="1">
      <c r="A19" s="252">
        <v>13</v>
      </c>
      <c r="B19" s="224" t="s">
        <v>59</v>
      </c>
      <c r="C19" s="224" t="s">
        <v>95</v>
      </c>
      <c r="D19" s="224">
        <v>6</v>
      </c>
      <c r="E19" s="289" t="s">
        <v>166</v>
      </c>
      <c r="F19" s="231">
        <v>1450</v>
      </c>
      <c r="G19" s="231">
        <f>'01.2016'!H22+'02.2016'!H19+'03.2016'!H19+'04.2016'!H21+'05.2016'!H19+'06.2016'!H20</f>
        <v>8412</v>
      </c>
      <c r="H19" s="231"/>
      <c r="I19" s="231">
        <f>G19</f>
        <v>8412</v>
      </c>
      <c r="J19" s="259"/>
      <c r="K19" s="231"/>
      <c r="L19" s="231">
        <f t="shared" si="2"/>
        <v>8412</v>
      </c>
      <c r="M19" s="231"/>
      <c r="N19" s="231"/>
      <c r="O19" s="259">
        <v>0.1</v>
      </c>
      <c r="P19" s="233">
        <f>'01.2016'!Q22+'02.2016'!Q19+'03.2016'!Q19+'04.2016'!Q21+'05.2016'!Q19+'06.2016'!Q20</f>
        <v>841.2</v>
      </c>
      <c r="Q19" s="259"/>
      <c r="R19" s="231">
        <f>'04.2016'!S21+'05.2016'!S19+'06.2016'!S20</f>
        <v>2305</v>
      </c>
      <c r="S19" s="231"/>
      <c r="T19" s="231"/>
      <c r="U19" s="231">
        <v>1450</v>
      </c>
      <c r="V19" s="231"/>
      <c r="W19" s="256"/>
      <c r="X19" s="231"/>
      <c r="Y19" s="256"/>
      <c r="Z19" s="231"/>
      <c r="AA19" s="256"/>
      <c r="AB19" s="260"/>
      <c r="AC19" s="256"/>
      <c r="AD19" s="231"/>
      <c r="AE19" s="253"/>
      <c r="AF19" s="257"/>
      <c r="AG19" s="231"/>
      <c r="AH19" s="231"/>
      <c r="AI19" s="231"/>
      <c r="AJ19" s="237">
        <f t="shared" si="0"/>
        <v>13008.2</v>
      </c>
      <c r="AK19" s="279">
        <f>AJ19-AJ19*0.205</f>
        <v>10341.52</v>
      </c>
      <c r="AL19" s="230">
        <f>AK19/D19</f>
        <v>1723.59</v>
      </c>
    </row>
    <row r="20" spans="1:38" s="254" customFormat="1" ht="41.25" customHeight="1">
      <c r="A20" s="252">
        <v>14</v>
      </c>
      <c r="B20" s="261" t="s">
        <v>48</v>
      </c>
      <c r="C20" s="262" t="s">
        <v>49</v>
      </c>
      <c r="D20" s="288">
        <v>1</v>
      </c>
      <c r="E20" s="262" t="s">
        <v>167</v>
      </c>
      <c r="F20" s="263">
        <v>1378</v>
      </c>
      <c r="G20" s="231">
        <f>'01.2016'!H14+'02.2016'!H14</f>
        <v>856.5</v>
      </c>
      <c r="H20" s="231"/>
      <c r="I20" s="231">
        <f aca="true" t="shared" si="3" ref="I20:I26">G20</f>
        <v>856.5</v>
      </c>
      <c r="J20" s="259"/>
      <c r="K20" s="231"/>
      <c r="L20" s="231">
        <f t="shared" si="2"/>
        <v>856.5</v>
      </c>
      <c r="M20" s="231"/>
      <c r="N20" s="231">
        <f>'01.2016'!O14+'02.2016'!O14</f>
        <v>428.25</v>
      </c>
      <c r="O20" s="259"/>
      <c r="P20" s="233"/>
      <c r="Q20" s="259"/>
      <c r="R20" s="231">
        <f>'01.2016'!T14+'02.2016'!T14</f>
        <v>428.25</v>
      </c>
      <c r="S20" s="253">
        <f>689/19*3</f>
        <v>108.79</v>
      </c>
      <c r="T20" s="231"/>
      <c r="U20" s="231"/>
      <c r="V20" s="231"/>
      <c r="W20" s="256"/>
      <c r="X20" s="231"/>
      <c r="Y20" s="256"/>
      <c r="Z20" s="231"/>
      <c r="AA20" s="256"/>
      <c r="AB20" s="257">
        <v>694.5</v>
      </c>
      <c r="AC20" s="256"/>
      <c r="AD20" s="231"/>
      <c r="AE20" s="253"/>
      <c r="AF20" s="257"/>
      <c r="AG20" s="231"/>
      <c r="AH20" s="231"/>
      <c r="AI20" s="231"/>
      <c r="AJ20" s="237">
        <f t="shared" si="0"/>
        <v>2516.29</v>
      </c>
      <c r="AK20" s="279">
        <f>AJ20-AJ20*0.205</f>
        <v>2000.45</v>
      </c>
      <c r="AL20" s="230">
        <f>AK20/D20</f>
        <v>2000.45</v>
      </c>
    </row>
    <row r="21" spans="1:38" s="254" customFormat="1" ht="47.25" customHeight="1">
      <c r="A21" s="252">
        <v>15</v>
      </c>
      <c r="B21" s="224" t="s">
        <v>148</v>
      </c>
      <c r="C21" s="262" t="s">
        <v>50</v>
      </c>
      <c r="D21" s="262">
        <v>1</v>
      </c>
      <c r="E21" s="262" t="s">
        <v>167</v>
      </c>
      <c r="F21" s="253">
        <v>1378</v>
      </c>
      <c r="G21" s="231"/>
      <c r="H21" s="231"/>
      <c r="I21" s="231">
        <f t="shared" si="3"/>
        <v>0</v>
      </c>
      <c r="J21" s="259"/>
      <c r="K21" s="231"/>
      <c r="L21" s="231">
        <f t="shared" si="2"/>
        <v>0</v>
      </c>
      <c r="M21" s="231"/>
      <c r="N21" s="231"/>
      <c r="O21" s="259"/>
      <c r="P21" s="233"/>
      <c r="Q21" s="259"/>
      <c r="R21" s="231"/>
      <c r="S21" s="231"/>
      <c r="T21" s="231"/>
      <c r="U21" s="257">
        <v>1378</v>
      </c>
      <c r="V21" s="231"/>
      <c r="W21" s="256"/>
      <c r="X21" s="231"/>
      <c r="Y21" s="256"/>
      <c r="Z21" s="231"/>
      <c r="AA21" s="256"/>
      <c r="AB21" s="257">
        <v>686.3</v>
      </c>
      <c r="AC21" s="256"/>
      <c r="AD21" s="231"/>
      <c r="AE21" s="253"/>
      <c r="AF21" s="257"/>
      <c r="AG21" s="231"/>
      <c r="AH21" s="231"/>
      <c r="AI21" s="231"/>
      <c r="AJ21" s="237">
        <f t="shared" si="0"/>
        <v>2064.3</v>
      </c>
      <c r="AK21" s="279">
        <f>AJ21-AJ21*0.205</f>
        <v>1641.12</v>
      </c>
      <c r="AL21" s="230">
        <f>AK21/D21</f>
        <v>1641.12</v>
      </c>
    </row>
    <row r="22" spans="1:38" s="254" customFormat="1" ht="48.75" customHeight="1">
      <c r="A22" s="252">
        <v>16</v>
      </c>
      <c r="B22" s="224" t="s">
        <v>45</v>
      </c>
      <c r="C22" s="262" t="s">
        <v>44</v>
      </c>
      <c r="D22" s="262">
        <v>4</v>
      </c>
      <c r="E22" s="262" t="s">
        <v>167</v>
      </c>
      <c r="F22" s="253">
        <v>1378</v>
      </c>
      <c r="G22" s="231">
        <f>'01.2016'!H17+'02.2016'!H16+'03.2016'!H16+'04.2016'!H16</f>
        <v>4479</v>
      </c>
      <c r="H22" s="231"/>
      <c r="I22" s="231">
        <f t="shared" si="3"/>
        <v>4479</v>
      </c>
      <c r="J22" s="232">
        <v>0.2</v>
      </c>
      <c r="K22" s="231">
        <f>'01.2016'!L17+'02.2016'!L16+'03.2016'!L16</f>
        <v>447.9</v>
      </c>
      <c r="L22" s="231">
        <f>I22+K22</f>
        <v>4926.9</v>
      </c>
      <c r="M22" s="231"/>
      <c r="N22" s="231">
        <f>'01.2016'!O17+'02.2016'!O16</f>
        <v>1515.8</v>
      </c>
      <c r="O22" s="259"/>
      <c r="P22" s="233"/>
      <c r="Q22" s="259"/>
      <c r="R22" s="231">
        <f>'04.2016'!S16</f>
        <v>500</v>
      </c>
      <c r="S22" s="231"/>
      <c r="T22" s="253">
        <f>('03.2016'!U16+'04.2016'!U16)/2</f>
        <v>1723</v>
      </c>
      <c r="U22" s="253">
        <f>('03.2016'!U16+'04.2016'!U16)/2</f>
        <v>1723</v>
      </c>
      <c r="V22" s="231"/>
      <c r="W22" s="256"/>
      <c r="X22" s="231">
        <v>514.04</v>
      </c>
      <c r="Y22" s="256"/>
      <c r="Z22" s="231"/>
      <c r="AA22" s="256"/>
      <c r="AB22" s="231">
        <v>485.09</v>
      </c>
      <c r="AC22" s="256"/>
      <c r="AD22" s="231"/>
      <c r="AE22" s="253">
        <v>2118.3</v>
      </c>
      <c r="AF22" s="257"/>
      <c r="AG22" s="231"/>
      <c r="AH22" s="231"/>
      <c r="AI22" s="231"/>
      <c r="AJ22" s="237">
        <f t="shared" si="0"/>
        <v>13506.13</v>
      </c>
      <c r="AK22" s="279">
        <f>AJ22-AJ22*0.205</f>
        <v>10737.37</v>
      </c>
      <c r="AL22" s="230">
        <f>AK22/D22</f>
        <v>2684.34</v>
      </c>
    </row>
    <row r="23" spans="1:38" s="254" customFormat="1" ht="39.75" customHeight="1">
      <c r="A23" s="252">
        <v>17</v>
      </c>
      <c r="B23" s="262" t="s">
        <v>46</v>
      </c>
      <c r="C23" s="264" t="s">
        <v>62</v>
      </c>
      <c r="D23" s="264">
        <v>4</v>
      </c>
      <c r="E23" s="262" t="s">
        <v>167</v>
      </c>
      <c r="F23" s="253">
        <v>689</v>
      </c>
      <c r="G23" s="231">
        <f>'01.2016'!H18+'02.2016'!H17+'03.2016'!H17+'04.2016'!H18</f>
        <v>2362.29</v>
      </c>
      <c r="H23" s="231"/>
      <c r="I23" s="231">
        <f t="shared" si="3"/>
        <v>2362.29</v>
      </c>
      <c r="J23" s="259"/>
      <c r="K23" s="231"/>
      <c r="L23" s="231">
        <f t="shared" si="2"/>
        <v>2362.29</v>
      </c>
      <c r="M23" s="231"/>
      <c r="N23" s="231"/>
      <c r="O23" s="259"/>
      <c r="P23" s="233">
        <f>'01.2016'!Q18+'02.2016'!Q17+'03.2016'!Q17+'04.2016'!Q18</f>
        <v>236.23</v>
      </c>
      <c r="Q23" s="259"/>
      <c r="R23" s="231"/>
      <c r="S23" s="231">
        <f>'01.2016'!W18+'02.2016'!W17+'03.2016'!V17</f>
        <v>2067</v>
      </c>
      <c r="T23" s="253"/>
      <c r="U23" s="253"/>
      <c r="V23" s="231"/>
      <c r="W23" s="256"/>
      <c r="X23" s="231"/>
      <c r="Y23" s="256"/>
      <c r="Z23" s="231"/>
      <c r="AA23" s="256"/>
      <c r="AB23" s="231"/>
      <c r="AC23" s="256"/>
      <c r="AD23" s="231"/>
      <c r="AE23" s="253"/>
      <c r="AF23" s="257"/>
      <c r="AG23" s="231"/>
      <c r="AH23" s="231"/>
      <c r="AI23" s="231"/>
      <c r="AJ23" s="237">
        <f t="shared" si="0"/>
        <v>4665.52</v>
      </c>
      <c r="AK23" s="279">
        <f>AJ23-AJ23*0.205</f>
        <v>3709.09</v>
      </c>
      <c r="AL23" s="230">
        <f>AK23/D23</f>
        <v>927.27</v>
      </c>
    </row>
    <row r="24" spans="1:38" s="254" customFormat="1" ht="35.25" customHeight="1">
      <c r="A24" s="252">
        <v>18</v>
      </c>
      <c r="B24" s="265" t="s">
        <v>154</v>
      </c>
      <c r="C24" s="265" t="s">
        <v>155</v>
      </c>
      <c r="D24" s="265">
        <v>1</v>
      </c>
      <c r="E24" s="262" t="s">
        <v>167</v>
      </c>
      <c r="F24" s="235">
        <v>1378</v>
      </c>
      <c r="G24" s="253">
        <f>1378/19*5</f>
        <v>362.63</v>
      </c>
      <c r="H24" s="231"/>
      <c r="I24" s="231">
        <f t="shared" si="3"/>
        <v>362.63</v>
      </c>
      <c r="J24" s="259"/>
      <c r="K24" s="231"/>
      <c r="L24" s="231">
        <f t="shared" si="2"/>
        <v>362.63</v>
      </c>
      <c r="M24" s="231"/>
      <c r="N24" s="231"/>
      <c r="O24" s="259"/>
      <c r="P24" s="266">
        <v>126.92</v>
      </c>
      <c r="Q24" s="259"/>
      <c r="R24" s="231"/>
      <c r="S24" s="231"/>
      <c r="T24" s="253"/>
      <c r="U24" s="257">
        <v>1378</v>
      </c>
      <c r="V24" s="231"/>
      <c r="W24" s="256"/>
      <c r="X24" s="231"/>
      <c r="Y24" s="256"/>
      <c r="Z24" s="231"/>
      <c r="AA24" s="256"/>
      <c r="AB24" s="231"/>
      <c r="AC24" s="256"/>
      <c r="AD24" s="231"/>
      <c r="AE24" s="253"/>
      <c r="AF24" s="257"/>
      <c r="AG24" s="231"/>
      <c r="AH24" s="231"/>
      <c r="AI24" s="231"/>
      <c r="AJ24" s="237">
        <f t="shared" si="0"/>
        <v>1867.55</v>
      </c>
      <c r="AK24" s="279">
        <f>AJ24-AJ24*0.205</f>
        <v>1484.7</v>
      </c>
      <c r="AL24" s="230">
        <f>AK24/D24</f>
        <v>1484.7</v>
      </c>
    </row>
    <row r="25" spans="1:38" s="254" customFormat="1" ht="24.75" customHeight="1">
      <c r="A25" s="252">
        <v>19</v>
      </c>
      <c r="B25" s="265" t="s">
        <v>157</v>
      </c>
      <c r="C25" s="265" t="s">
        <v>155</v>
      </c>
      <c r="D25" s="265">
        <v>1</v>
      </c>
      <c r="E25" s="262" t="s">
        <v>167</v>
      </c>
      <c r="F25" s="235">
        <v>1378</v>
      </c>
      <c r="G25" s="253">
        <f>1378/19*5</f>
        <v>362.63</v>
      </c>
      <c r="H25" s="231"/>
      <c r="I25" s="231">
        <f t="shared" si="3"/>
        <v>362.63</v>
      </c>
      <c r="J25" s="259"/>
      <c r="K25" s="231"/>
      <c r="L25" s="231">
        <f t="shared" si="2"/>
        <v>362.63</v>
      </c>
      <c r="M25" s="231"/>
      <c r="N25" s="231"/>
      <c r="O25" s="259"/>
      <c r="P25" s="266">
        <v>126.92</v>
      </c>
      <c r="Q25" s="259"/>
      <c r="R25" s="231"/>
      <c r="S25" s="231"/>
      <c r="T25" s="253"/>
      <c r="U25" s="253"/>
      <c r="V25" s="231"/>
      <c r="W25" s="256"/>
      <c r="X25" s="231">
        <v>322.7</v>
      </c>
      <c r="Y25" s="256"/>
      <c r="Z25" s="231"/>
      <c r="AA25" s="256"/>
      <c r="AB25" s="231"/>
      <c r="AC25" s="256"/>
      <c r="AD25" s="231"/>
      <c r="AE25" s="253"/>
      <c r="AF25" s="257"/>
      <c r="AG25" s="231"/>
      <c r="AH25" s="231"/>
      <c r="AI25" s="231"/>
      <c r="AJ25" s="237">
        <f t="shared" si="0"/>
        <v>812.25</v>
      </c>
      <c r="AK25" s="279">
        <f>AJ25-AJ25*0.205</f>
        <v>645.74</v>
      </c>
      <c r="AL25" s="230">
        <f>AK25/D25</f>
        <v>645.74</v>
      </c>
    </row>
    <row r="26" spans="1:38" s="254" customFormat="1" ht="39.75" customHeight="1">
      <c r="A26" s="252">
        <v>20</v>
      </c>
      <c r="B26" s="262" t="s">
        <v>57</v>
      </c>
      <c r="C26" s="262" t="s">
        <v>52</v>
      </c>
      <c r="D26" s="262">
        <v>5</v>
      </c>
      <c r="E26" s="262" t="s">
        <v>167</v>
      </c>
      <c r="F26" s="253">
        <v>1378</v>
      </c>
      <c r="G26" s="231">
        <f>'01.2016'!H21+'02.2016'!H18+'03.2016'!H18+'04.2016'!H20+'05.2016'!H18</f>
        <v>6962</v>
      </c>
      <c r="H26" s="231"/>
      <c r="I26" s="231">
        <f t="shared" si="3"/>
        <v>6962</v>
      </c>
      <c r="J26" s="259"/>
      <c r="K26" s="231"/>
      <c r="L26" s="231">
        <f t="shared" si="2"/>
        <v>6962</v>
      </c>
      <c r="M26" s="231"/>
      <c r="N26" s="231"/>
      <c r="O26" s="259"/>
      <c r="P26" s="233">
        <f>'01.2016'!Q21+'02.2016'!Q18+'03.2016'!Q18+'04.2016'!Q20+'05.2016'!Q18</f>
        <v>696.2</v>
      </c>
      <c r="Q26" s="259"/>
      <c r="R26" s="231">
        <v>580</v>
      </c>
      <c r="S26" s="231"/>
      <c r="T26" s="253"/>
      <c r="U26" s="253"/>
      <c r="V26" s="231"/>
      <c r="W26" s="256"/>
      <c r="X26" s="231"/>
      <c r="Y26" s="256"/>
      <c r="Z26" s="231"/>
      <c r="AA26" s="256"/>
      <c r="AB26" s="231"/>
      <c r="AC26" s="256"/>
      <c r="AD26" s="231"/>
      <c r="AE26" s="253"/>
      <c r="AF26" s="257"/>
      <c r="AG26" s="231">
        <v>802.44</v>
      </c>
      <c r="AH26" s="231"/>
      <c r="AI26" s="231"/>
      <c r="AJ26" s="237">
        <f t="shared" si="0"/>
        <v>9040.64</v>
      </c>
      <c r="AK26" s="279">
        <f>AJ26-AJ26*0.205</f>
        <v>7187.31</v>
      </c>
      <c r="AL26" s="230">
        <f>AK26/D26</f>
        <v>1437.46</v>
      </c>
    </row>
    <row r="27" spans="1:38" ht="30.75" customHeight="1">
      <c r="A27" s="227"/>
      <c r="B27" s="267" t="s">
        <v>12</v>
      </c>
      <c r="C27" s="267"/>
      <c r="D27" s="267"/>
      <c r="E27" s="267"/>
      <c r="F27" s="237">
        <f>SUM(F12:F26)</f>
        <v>21197</v>
      </c>
      <c r="G27" s="237">
        <f>SUM(G12:G26)</f>
        <v>64368.01</v>
      </c>
      <c r="H27" s="237">
        <f>SUM(H12:H26)</f>
        <v>0</v>
      </c>
      <c r="I27" s="237">
        <f>SUM(I12:I26)</f>
        <v>64368.01</v>
      </c>
      <c r="J27" s="237"/>
      <c r="K27" s="237">
        <f>SUM(K12:K26)</f>
        <v>5866.24</v>
      </c>
      <c r="L27" s="237">
        <f>SUM(L12:L26)</f>
        <v>70234.25</v>
      </c>
      <c r="M27" s="237"/>
      <c r="N27" s="237">
        <f>SUM(N12:N26)</f>
        <v>21043.69</v>
      </c>
      <c r="O27" s="237"/>
      <c r="P27" s="237">
        <f>SUM(P12:P26)</f>
        <v>2320.59</v>
      </c>
      <c r="Q27" s="237"/>
      <c r="R27" s="237">
        <f>SUM(R12:R26)</f>
        <v>12925.29</v>
      </c>
      <c r="S27" s="237">
        <f>SUM(S12:S26)</f>
        <v>2175.79</v>
      </c>
      <c r="T27" s="237">
        <f>SUM(T12:T26)</f>
        <v>1723</v>
      </c>
      <c r="U27" s="237">
        <f>SUM(U12:U26)</f>
        <v>7929</v>
      </c>
      <c r="V27" s="237">
        <f>SUM(V12:V26)</f>
        <v>229.1</v>
      </c>
      <c r="W27" s="237"/>
      <c r="X27" s="237">
        <f aca="true" t="shared" si="4" ref="X27:AI27">SUM(X12:X26)</f>
        <v>1336.54</v>
      </c>
      <c r="Y27" s="237">
        <f t="shared" si="4"/>
        <v>0</v>
      </c>
      <c r="Z27" s="237">
        <f t="shared" si="4"/>
        <v>0</v>
      </c>
      <c r="AA27" s="237">
        <f t="shared" si="4"/>
        <v>0</v>
      </c>
      <c r="AB27" s="237">
        <f t="shared" si="4"/>
        <v>3852.85</v>
      </c>
      <c r="AC27" s="237">
        <f t="shared" si="4"/>
        <v>0</v>
      </c>
      <c r="AD27" s="237">
        <f t="shared" si="4"/>
        <v>2542.7</v>
      </c>
      <c r="AE27" s="237">
        <f t="shared" si="4"/>
        <v>8631.62</v>
      </c>
      <c r="AF27" s="237">
        <f t="shared" si="4"/>
        <v>820</v>
      </c>
      <c r="AG27" s="237">
        <f t="shared" si="4"/>
        <v>802.44</v>
      </c>
      <c r="AH27" s="237">
        <f t="shared" si="4"/>
        <v>1378</v>
      </c>
      <c r="AI27" s="237">
        <f t="shared" si="4"/>
        <v>1000</v>
      </c>
      <c r="AJ27" s="237">
        <f t="shared" si="0"/>
        <v>138944.86</v>
      </c>
      <c r="AK27" s="279">
        <f>AJ27-AJ27*0.205</f>
        <v>110461.16</v>
      </c>
      <c r="AL27" s="278">
        <f>AK27/6</f>
        <v>18410.19</v>
      </c>
    </row>
    <row r="28" spans="1:38" ht="27.75" customHeight="1">
      <c r="A28" s="227"/>
      <c r="B28" s="267" t="s">
        <v>3</v>
      </c>
      <c r="C28" s="267"/>
      <c r="D28" s="267"/>
      <c r="E28" s="267"/>
      <c r="F28" s="237">
        <f>F27+F11</f>
        <v>31950</v>
      </c>
      <c r="G28" s="237">
        <f>G11+G27</f>
        <v>119929.47</v>
      </c>
      <c r="H28" s="237">
        <f>H27+H11</f>
        <v>1828.18</v>
      </c>
      <c r="I28" s="237">
        <f>I27+I11</f>
        <v>121757.65</v>
      </c>
      <c r="J28" s="268"/>
      <c r="K28" s="237">
        <f>K27+K11</f>
        <v>16268.78</v>
      </c>
      <c r="L28" s="237">
        <f>L27+L11</f>
        <v>138026.43</v>
      </c>
      <c r="M28" s="237"/>
      <c r="N28" s="237">
        <f>N27+N11</f>
        <v>21043.69</v>
      </c>
      <c r="O28" s="237"/>
      <c r="P28" s="237">
        <f>P27+P11</f>
        <v>2320.59</v>
      </c>
      <c r="Q28" s="237"/>
      <c r="R28" s="237">
        <f>R27+R11</f>
        <v>66160.7</v>
      </c>
      <c r="S28" s="237">
        <f>S27+S11</f>
        <v>2175.79</v>
      </c>
      <c r="T28" s="237">
        <f>T27+T11</f>
        <v>1723</v>
      </c>
      <c r="U28" s="237">
        <f>U27+U11</f>
        <v>7929</v>
      </c>
      <c r="V28" s="237">
        <f>V27+V11</f>
        <v>466.9</v>
      </c>
      <c r="W28" s="269"/>
      <c r="X28" s="237">
        <f>X27+X11</f>
        <v>1336.54</v>
      </c>
      <c r="Y28" s="269">
        <f>Y27+Y11</f>
        <v>0</v>
      </c>
      <c r="Z28" s="237">
        <f>Z27+Z11</f>
        <v>0</v>
      </c>
      <c r="AA28" s="270"/>
      <c r="AB28" s="237">
        <f>AB27+AB11</f>
        <v>3852.85</v>
      </c>
      <c r="AC28" s="270"/>
      <c r="AD28" s="237">
        <f>SUM(AD12:AD27)</f>
        <v>5085.4</v>
      </c>
      <c r="AE28" s="271">
        <f>AE27+AE10</f>
        <v>8631.62</v>
      </c>
      <c r="AF28" s="271">
        <f>SUM(AF12:AF27)</f>
        <v>1640</v>
      </c>
      <c r="AG28" s="237">
        <f>AG27+AG11</f>
        <v>1344.89</v>
      </c>
      <c r="AH28" s="237">
        <f>AH27+AH11</f>
        <v>1378</v>
      </c>
      <c r="AI28" s="237">
        <f>AI27+AI11</f>
        <v>2000</v>
      </c>
      <c r="AJ28" s="237">
        <f t="shared" si="0"/>
        <v>265115.4</v>
      </c>
      <c r="AK28" s="279">
        <f>AJ28-AJ28*0.205</f>
        <v>210766.74</v>
      </c>
      <c r="AL28" s="278">
        <f>AK28/6</f>
        <v>35127.79</v>
      </c>
    </row>
    <row r="29" spans="19:36" ht="74.25" customHeight="1">
      <c r="S29" s="254"/>
      <c r="T29" s="254"/>
      <c r="U29" s="254"/>
      <c r="V29" s="254"/>
      <c r="W29" s="254"/>
      <c r="X29" s="254"/>
      <c r="AF29" s="272"/>
      <c r="AJ29" s="222"/>
    </row>
    <row r="30" spans="19:36" ht="74.25" customHeight="1">
      <c r="S30" s="254"/>
      <c r="T30" s="254"/>
      <c r="U30" s="254"/>
      <c r="V30" s="254"/>
      <c r="W30" s="254"/>
      <c r="X30" s="254"/>
      <c r="AJ30" s="272"/>
    </row>
    <row r="31" spans="19:36" ht="74.25" customHeight="1">
      <c r="S31" s="254"/>
      <c r="T31" s="254"/>
      <c r="U31" s="254"/>
      <c r="V31" s="254"/>
      <c r="W31" s="254"/>
      <c r="X31" s="254"/>
      <c r="AF31" s="273"/>
      <c r="AJ31" s="222"/>
    </row>
    <row r="32" spans="19:24" ht="74.25" customHeight="1">
      <c r="S32" s="254"/>
      <c r="T32" s="254"/>
      <c r="U32" s="254"/>
      <c r="V32" s="254"/>
      <c r="W32" s="254"/>
      <c r="X32" s="254"/>
    </row>
    <row r="33" spans="19:24" ht="74.25" customHeight="1">
      <c r="S33" s="254"/>
      <c r="T33" s="254"/>
      <c r="U33" s="254"/>
      <c r="V33" s="254"/>
      <c r="W33" s="254"/>
      <c r="X33" s="254"/>
    </row>
    <row r="34" spans="19:24" ht="74.25" customHeight="1">
      <c r="S34" s="254"/>
      <c r="T34" s="254"/>
      <c r="U34" s="254"/>
      <c r="V34" s="254"/>
      <c r="W34" s="254"/>
      <c r="X34" s="254"/>
    </row>
    <row r="35" spans="19:24" ht="74.25" customHeight="1">
      <c r="S35" s="254"/>
      <c r="T35" s="254"/>
      <c r="U35" s="254"/>
      <c r="V35" s="254"/>
      <c r="W35" s="254"/>
      <c r="X35" s="254"/>
    </row>
    <row r="36" spans="19:24" ht="74.25" customHeight="1">
      <c r="S36" s="254"/>
      <c r="T36" s="254"/>
      <c r="U36" s="254"/>
      <c r="V36" s="254"/>
      <c r="W36" s="254"/>
      <c r="X36" s="254"/>
    </row>
    <row r="37" spans="19:24" ht="74.25" customHeight="1">
      <c r="S37" s="254"/>
      <c r="T37" s="254"/>
      <c r="U37" s="254"/>
      <c r="V37" s="254"/>
      <c r="W37" s="254"/>
      <c r="X37" s="254"/>
    </row>
    <row r="38" spans="19:24" ht="74.25" customHeight="1">
      <c r="S38" s="254"/>
      <c r="T38" s="254"/>
      <c r="U38" s="254"/>
      <c r="V38" s="254"/>
      <c r="W38" s="254"/>
      <c r="X38" s="254"/>
    </row>
    <row r="39" spans="19:24" ht="74.25" customHeight="1">
      <c r="S39" s="254"/>
      <c r="T39" s="254"/>
      <c r="U39" s="254"/>
      <c r="V39" s="254"/>
      <c r="W39" s="254"/>
      <c r="X39" s="254"/>
    </row>
    <row r="40" spans="19:24" ht="74.25" customHeight="1">
      <c r="S40" s="254"/>
      <c r="T40" s="254"/>
      <c r="U40" s="254"/>
      <c r="V40" s="254"/>
      <c r="W40" s="254"/>
      <c r="X40" s="254"/>
    </row>
    <row r="41" spans="19:24" ht="74.25" customHeight="1">
      <c r="S41" s="254"/>
      <c r="T41" s="254"/>
      <c r="U41" s="254"/>
      <c r="V41" s="254"/>
      <c r="W41" s="254"/>
      <c r="X41" s="254"/>
    </row>
    <row r="42" spans="19:24" ht="74.25" customHeight="1">
      <c r="S42" s="254"/>
      <c r="T42" s="254"/>
      <c r="U42" s="254"/>
      <c r="V42" s="254"/>
      <c r="W42" s="254"/>
      <c r="X42" s="254"/>
    </row>
    <row r="43" spans="19:24" ht="74.25" customHeight="1">
      <c r="S43" s="254"/>
      <c r="T43" s="254"/>
      <c r="U43" s="254"/>
      <c r="V43" s="254"/>
      <c r="W43" s="254"/>
      <c r="X43" s="254"/>
    </row>
    <row r="44" spans="19:24" ht="74.25" customHeight="1">
      <c r="S44" s="254"/>
      <c r="T44" s="254"/>
      <c r="U44" s="254"/>
      <c r="V44" s="254"/>
      <c r="W44" s="254"/>
      <c r="X44" s="254"/>
    </row>
  </sheetData>
  <sheetProtection/>
  <mergeCells count="32">
    <mergeCell ref="A3:A5"/>
    <mergeCell ref="B3:B5"/>
    <mergeCell ref="C3:C5"/>
    <mergeCell ref="F3:F5"/>
    <mergeCell ref="G3:G5"/>
    <mergeCell ref="AK3:AK5"/>
    <mergeCell ref="V3:V5"/>
    <mergeCell ref="W3:Z3"/>
    <mergeCell ref="U3:U5"/>
    <mergeCell ref="AG3:AG5"/>
    <mergeCell ref="AC3:AD4"/>
    <mergeCell ref="AL3:AL5"/>
    <mergeCell ref="AH3:AH5"/>
    <mergeCell ref="A1:AJ2"/>
    <mergeCell ref="M4:N4"/>
    <mergeCell ref="O4:P4"/>
    <mergeCell ref="W4:X4"/>
    <mergeCell ref="Y4:Z4"/>
    <mergeCell ref="AA3:AB4"/>
    <mergeCell ref="AI3:AI5"/>
    <mergeCell ref="AJ3:AJ5"/>
    <mergeCell ref="S3:S5"/>
    <mergeCell ref="AE3:AE5"/>
    <mergeCell ref="AF3:AF5"/>
    <mergeCell ref="H3:H5"/>
    <mergeCell ref="L3:L5"/>
    <mergeCell ref="M3:P3"/>
    <mergeCell ref="Q3:R4"/>
    <mergeCell ref="T3:T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Danko &amp; 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Danko</dc:creator>
  <cp:keywords/>
  <dc:description/>
  <cp:lastModifiedBy>GOLOVBUH</cp:lastModifiedBy>
  <cp:lastPrinted>2016-08-18T07:09:20Z</cp:lastPrinted>
  <dcterms:created xsi:type="dcterms:W3CDTF">2013-02-12T13:10:18Z</dcterms:created>
  <dcterms:modified xsi:type="dcterms:W3CDTF">2016-08-18T07:37:03Z</dcterms:modified>
  <cp:category/>
  <cp:version/>
  <cp:contentType/>
  <cp:contentStatus/>
</cp:coreProperties>
</file>